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CALDIA\TITULACIÓN\"/>
    </mc:Choice>
  </mc:AlternateContent>
  <xr:revisionPtr revIDLastSave="0" documentId="13_ncr:1_{3B77CFF8-4089-4E22-AA34-1FB300F8A6F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ESUPUESTO" sheetId="26" r:id="rId1"/>
    <sheet name="PLAN DE CARGAS" sheetId="28" r:id="rId2"/>
    <sheet name="DESCRIP PERFILES" sheetId="31" r:id="rId3"/>
    <sheet name="CRONOGRAMA DE ACTIVIDADES" sheetId="3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X" localSheetId="0">[0]!ERR</definedName>
    <definedName name="\X">[0]!ERR</definedName>
    <definedName name="\Z" localSheetId="0">[0]!ERR</definedName>
    <definedName name="\Z">[0]!ERR</definedName>
    <definedName name="__________________FS01" localSheetId="0">[0]!ERR</definedName>
    <definedName name="__________________FS01">[0]!ERR</definedName>
    <definedName name="__FS01" localSheetId="0">[0]!ERR</definedName>
    <definedName name="__FS01">[0]!ERR</definedName>
    <definedName name="_F" localSheetId="0">[0]!ERR</definedName>
    <definedName name="_F">[0]!ERR</definedName>
    <definedName name="_F4" hidden="1">{"SUMINISTRO E INSTALACIÓN CANALETAS L=7.50"}</definedName>
    <definedName name="_ff2005" localSheetId="0">[0]!ERR</definedName>
    <definedName name="_ff2005">[0]!ERR</definedName>
    <definedName name="_FS01" localSheetId="0">[0]!ERR</definedName>
    <definedName name="_FS01">[0]!ERR</definedName>
    <definedName name="_scenchg1" localSheetId="0" hidden="1">[1]inpermeabOTRO!#REF!</definedName>
    <definedName name="_scenchg1" hidden="1">[1]inpermeabOTRO!#REF!</definedName>
    <definedName name="_TD02" localSheetId="0">[0]!ERR</definedName>
    <definedName name="_TD02">[0]!ERR</definedName>
    <definedName name="A" localSheetId="0">[0]!ERR</definedName>
    <definedName name="A">[0]!ERR</definedName>
    <definedName name="A_ARCINIEGAS" localSheetId="0">#REF!</definedName>
    <definedName name="A_ARCINIEGAS">#REF!</definedName>
    <definedName name="A_impresión_IM" localSheetId="0">#REF!</definedName>
    <definedName name="A_impresión_IM">#REF!</definedName>
    <definedName name="AAA" localSheetId="0">[0]!ERR</definedName>
    <definedName name="AAA">[0]!ERR</definedName>
    <definedName name="ADAS" localSheetId="0">[0]!ERR</definedName>
    <definedName name="ADAS">[0]!ERR</definedName>
    <definedName name="AFAF" localSheetId="0">[0]!ERR</definedName>
    <definedName name="AFAF">[0]!ERR</definedName>
    <definedName name="AFSAF" localSheetId="0">[0]!ERR</definedName>
    <definedName name="AFSAF">[0]!ERR</definedName>
    <definedName name="AIU">[2]AIUsan!$E$85</definedName>
    <definedName name="ANAL" localSheetId="0">[0]!ERR</definedName>
    <definedName name="ANAL">[0]!ERR</definedName>
    <definedName name="ANALI" localSheetId="0">[0]!ERR</definedName>
    <definedName name="ANALI">[0]!ERR</definedName>
    <definedName name="ANALIS" localSheetId="0">[0]!ERR</definedName>
    <definedName name="ANALIS">[0]!ERR</definedName>
    <definedName name="ANALISISFMRAFA" localSheetId="0">[0]!ERR</definedName>
    <definedName name="ANALISISFMRAFA">[0]!ERR</definedName>
    <definedName name="_xlnm.Extract" localSheetId="0">#REF!</definedName>
    <definedName name="_xlnm.Extract">#REF!</definedName>
    <definedName name="_xlnm.Print_Area" localSheetId="3">'CRONOGRAMA DE ACTIVIDADES'!$A$1:$M$29</definedName>
    <definedName name="_xlnm.Print_Area" localSheetId="2">'DESCRIP PERFILES'!$A$1:$F$13</definedName>
    <definedName name="_xlnm.Print_Area" localSheetId="1">'PLAN DE CARGAS'!$A$1:$Z$46</definedName>
    <definedName name="_xlnm.Print_Area" localSheetId="0">PRESUPUESTO!$A$1:$K$41</definedName>
    <definedName name="_xlnm.Print_Area">#REF!</definedName>
    <definedName name="AS" localSheetId="0">[0]!ERR</definedName>
    <definedName name="AS">[0]!ERR</definedName>
    <definedName name="asd" localSheetId="0">[0]!ERR</definedName>
    <definedName name="asd">[0]!ERR</definedName>
    <definedName name="ASFAF" localSheetId="0">[0]!ERR</definedName>
    <definedName name="ASFAF">[0]!ERR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BB" localSheetId="0">[0]!ERR</definedName>
    <definedName name="BB">[0]!ERR</definedName>
    <definedName name="Buscar" localSheetId="0">#REF!</definedName>
    <definedName name="Buscar">#REF!</definedName>
    <definedName name="CANTIDAD" localSheetId="0">#REF!</definedName>
    <definedName name="CANTIDAD">#REF!</definedName>
    <definedName name="CantObraDefinitiva" hidden="1">{"SUMINISTRO E INSTALACIÓN CANALETAS L=7.50"}</definedName>
    <definedName name="CARRO" localSheetId="0">#REF!</definedName>
    <definedName name="CARRO">#REF!</definedName>
    <definedName name="casanare">[3]Listado!$F$1038:$F$1056</definedName>
    <definedName name="CERT" localSheetId="0">[0]!ERR</definedName>
    <definedName name="CERT">[0]!ERR</definedName>
    <definedName name="cesse" localSheetId="0">[0]!ERR</definedName>
    <definedName name="cesse">[0]!ERR</definedName>
    <definedName name="CINCUENTA" localSheetId="0">#REF!,#REF!</definedName>
    <definedName name="CINCUENTA">#REF!,#REF!</definedName>
    <definedName name="COPIA" localSheetId="0">[0]!ERR</definedName>
    <definedName name="COPIA">[0]!ERR</definedName>
    <definedName name="COSTODIRECTO" localSheetId="0">#REF!</definedName>
    <definedName name="COSTODIRECTO">#REF!</definedName>
    <definedName name="COSTOS">[4]TARIFAS!$A$1:$F$52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CUAL" localSheetId="0">[0]!ERR</definedName>
    <definedName name="CUAL">[0]!ERR</definedName>
    <definedName name="dd" localSheetId="0">[0]!ERR</definedName>
    <definedName name="dd">[0]!ERR</definedName>
    <definedName name="dedicacion" localSheetId="0">#REF!</definedName>
    <definedName name="dedicacion">#REF!</definedName>
    <definedName name="DFSD" localSheetId="0">[0]!ERR</definedName>
    <definedName name="DFSD">[0]!ERR</definedName>
    <definedName name="DOS" localSheetId="0">[0]!ERR</definedName>
    <definedName name="DOS">[0]!ERR</definedName>
    <definedName name="DSDF" localSheetId="0">[0]!ERR</definedName>
    <definedName name="DSDF">[0]!ERR</definedName>
    <definedName name="EDICAR" localSheetId="0">#REF!</definedName>
    <definedName name="EDICAR">#REF!</definedName>
    <definedName name="ee" localSheetId="0">[0]!ERR</definedName>
    <definedName name="ee">[0]!ERR</definedName>
    <definedName name="EEE" localSheetId="0">#REF!</definedName>
    <definedName name="EEE">#REF!</definedName>
    <definedName name="EMPRESA" localSheetId="0">'[5]Capacidad M3'!#REF!</definedName>
    <definedName name="EMPRESA">'[5]Capacidad M3'!#REF!</definedName>
    <definedName name="ERERT" localSheetId="0">[0]!ERR</definedName>
    <definedName name="ERERT">[0]!ERR</definedName>
    <definedName name="ERTEG" localSheetId="0">[0]!ERR</definedName>
    <definedName name="ERTEG">[0]!ERR</definedName>
    <definedName name="ERTYTY" localSheetId="0">[0]!ERR</definedName>
    <definedName name="ERTYTY">[0]!ERR</definedName>
    <definedName name="ES" localSheetId="0">[0]!ERR</definedName>
    <definedName name="ES">[0]!ERR</definedName>
    <definedName name="ESRE" localSheetId="0">[0]!ERR</definedName>
    <definedName name="ESRE">[0]!ERR</definedName>
    <definedName name="Extracción_IM" localSheetId="0">#REF!</definedName>
    <definedName name="Extracción_IM">#REF!</definedName>
    <definedName name="f.s" localSheetId="0">#REF!</definedName>
    <definedName name="f.s">#REF!</definedName>
    <definedName name="FAHESA" localSheetId="0">#REF!</definedName>
    <definedName name="FAHESA">#REF!</definedName>
    <definedName name="FD" localSheetId="0">#REF!</definedName>
    <definedName name="FD">#REF!</definedName>
    <definedName name="ff" localSheetId="0">[0]!ERR</definedName>
    <definedName name="ff">[0]!ERR</definedName>
    <definedName name="FINANCIACION" localSheetId="0">[0]!ERR</definedName>
    <definedName name="FINANCIACION">[0]!ERR</definedName>
    <definedName name="G_MURILLO" localSheetId="0">#REF!</definedName>
    <definedName name="G_MURILLO">#REF!</definedName>
    <definedName name="GGG" localSheetId="0">[0]!ERR</definedName>
    <definedName name="GGG">[0]!ERR</definedName>
    <definedName name="GLOBAL" localSheetId="0">#REF!,#REF!</definedName>
    <definedName name="GLOBAL">#REF!,#REF!</definedName>
    <definedName name="H_DELGADO" localSheetId="0">#REF!</definedName>
    <definedName name="H_DELGADO">#REF!</definedName>
    <definedName name="HERNAN_DUARTE" localSheetId="0">#REF!</definedName>
    <definedName name="HERNAN_DUARTE">#REF!</definedName>
    <definedName name="HGFGH" localSheetId="0">[0]!ERR</definedName>
    <definedName name="HGFGH">[0]!ERR</definedName>
    <definedName name="HKGJH" localSheetId="0">[0]!ERR</definedName>
    <definedName name="HKGJH">[0]!ERR</definedName>
    <definedName name="HONORARIOS" localSheetId="0">#REF!</definedName>
    <definedName name="HONORARIOS">#REF!</definedName>
    <definedName name="I">[2]AIUsan!$E$79</definedName>
    <definedName name="inf" localSheetId="0">#REF!</definedName>
    <definedName name="inf">#REF!</definedName>
    <definedName name="IOUHH" localSheetId="0">[0]!ERR</definedName>
    <definedName name="IOUHH">[0]!ERR</definedName>
    <definedName name="Israel" localSheetId="0">#REF!,#REF!,#REF!,#REF!,#REF!,#REF!,#REF!,#REF!,#REF!</definedName>
    <definedName name="Israel">#REF!,#REF!,#REF!,#REF!,#REF!,#REF!,#REF!,#REF!,#REF!</definedName>
    <definedName name="j" localSheetId="0">[0]!ERR</definedName>
    <definedName name="j">[0]!ERR</definedName>
    <definedName name="J_GARCIA_P" localSheetId="0">#REF!</definedName>
    <definedName name="J_GARCIA_P">#REF!</definedName>
    <definedName name="JJ" localSheetId="0">[0]!ERR</definedName>
    <definedName name="JJ">[0]!ERR</definedName>
    <definedName name="JJJJJ" hidden="1">{"SUMINISTRO E INSTALACIÓN CANALETAS L=7.50"}</definedName>
    <definedName name="JKGJHGJHG" localSheetId="0">[0]!ERR</definedName>
    <definedName name="JKGJHGJHG">[0]!ERR</definedName>
    <definedName name="JLK" localSheetId="0">[0]!ERR</definedName>
    <definedName name="JLK">[0]!ERR</definedName>
    <definedName name="JOHNNY" localSheetId="0">[0]!ERR</definedName>
    <definedName name="JOHNNY">[0]!ERR</definedName>
    <definedName name="K" localSheetId="0">[6]Sheet1!#REF!</definedName>
    <definedName name="K">[6]Sheet1!#REF!</definedName>
    <definedName name="KHBG" localSheetId="0">[0]!ERR</definedName>
    <definedName name="KHBG">[0]!ERR</definedName>
    <definedName name="LJHJKJH" localSheetId="0">[0]!ERR</definedName>
    <definedName name="LJHJKJH">[0]!ERR</definedName>
    <definedName name="LKHLKH" localSheetId="0">[0]!ERR</definedName>
    <definedName name="LKHLKH">[0]!ERR</definedName>
    <definedName name="LKJH" localSheetId="0">[0]!ERR</definedName>
    <definedName name="LKJH">[0]!ERR</definedName>
    <definedName name="LOCAT1999" hidden="1">{"SUMINISTRO E INSTALACIÓN CANALETAS L=7.50"}</definedName>
    <definedName name="LOGO" localSheetId="0">[0]!ERR</definedName>
    <definedName name="LOGO">[0]!ERR</definedName>
    <definedName name="M.R.SOLARTE" localSheetId="0">#REF!</definedName>
    <definedName name="M.R.SOLARTE">#REF!</definedName>
    <definedName name="MACO" localSheetId="0">#REF!</definedName>
    <definedName name="MACO">#REF!</definedName>
    <definedName name="MES" localSheetId="0">#REF!</definedName>
    <definedName name="MES">#REF!</definedName>
    <definedName name="NANCY_POLO" localSheetId="0">#REF!</definedName>
    <definedName name="NANCY_POLO">#REF!</definedName>
    <definedName name="NO" localSheetId="0">[0]!ERR</definedName>
    <definedName name="NO">[0]!ERR</definedName>
    <definedName name="NOVENTA" localSheetId="0">#REF!,#REF!</definedName>
    <definedName name="NOVENTA">#REF!,#REF!</definedName>
    <definedName name="OBJETO">'[7]Presupuesto Total'!$A$1</definedName>
    <definedName name="OCHENTA" localSheetId="0">#REF!,#REF!</definedName>
    <definedName name="OCHENTA">#REF!,#REF!</definedName>
    <definedName name="ORDENAR" localSheetId="0">#REF!</definedName>
    <definedName name="ORDENAR">#REF!</definedName>
    <definedName name="PAPEL" localSheetId="0">#REF!</definedName>
    <definedName name="PAPEL">#REF!</definedName>
    <definedName name="PEPE" localSheetId="0">[0]!ERR</definedName>
    <definedName name="PEPE">[0]!ERR</definedName>
    <definedName name="personal" localSheetId="0">#REF!</definedName>
    <definedName name="personal">#REF!</definedName>
    <definedName name="PR" localSheetId="0">#REF!</definedName>
    <definedName name="PR">#REF!</definedName>
    <definedName name="PRESTAC.">1.15</definedName>
    <definedName name="programainv" localSheetId="0">[0]!ERR</definedName>
    <definedName name="programainv">[0]!ERR</definedName>
    <definedName name="PROY" localSheetId="0">'[8]PE-02'!#REF!</definedName>
    <definedName name="PROY">'[8]PE-02'!#REF!</definedName>
    <definedName name="QQ" localSheetId="0">[0]!ERR</definedName>
    <definedName name="QQ">[0]!ERR</definedName>
    <definedName name="QWE" localSheetId="0">[0]!ERR</definedName>
    <definedName name="QWE">[0]!ERR</definedName>
    <definedName name="qwqer" localSheetId="0">[0]!ERR</definedName>
    <definedName name="qwqer">[0]!ERR</definedName>
    <definedName name="REICIO" localSheetId="0">[0]!ERR</definedName>
    <definedName name="REICIO">[0]!ERR</definedName>
    <definedName name="reinicio" localSheetId="0">[0]!ERR</definedName>
    <definedName name="reinicio">[0]!ERR</definedName>
    <definedName name="RICARDO" localSheetId="0">#REF!,#REF!,#REF!,#REF!,#REF!,#REF!,#REF!,#REF!,#REF!</definedName>
    <definedName name="RICARDO">#REF!,#REF!,#REF!,#REF!,#REF!,#REF!,#REF!,#REF!,#REF!</definedName>
    <definedName name="rr" localSheetId="0">[0]!ERR</definedName>
    <definedName name="rr">[0]!ERR</definedName>
    <definedName name="rrer" localSheetId="0">[0]!ERR</definedName>
    <definedName name="rrer">[0]!ERR</definedName>
    <definedName name="RTY" localSheetId="0">[0]!ERR</definedName>
    <definedName name="RTY">[0]!ERR</definedName>
    <definedName name="s" localSheetId="0">[0]!ERR</definedName>
    <definedName name="s">[0]!ERR</definedName>
    <definedName name="salarios" localSheetId="0">[0]!ERR</definedName>
    <definedName name="salarios">[0]!ERR</definedName>
    <definedName name="scen_change" localSheetId="0" hidden="1">[1]inpermeabOTRO!#REF!</definedName>
    <definedName name="scen_change" hidden="1">[1]inpermeabOTRO!#REF!</definedName>
    <definedName name="scen_name1" hidden="1">"arial"</definedName>
    <definedName name="scen_num" hidden="1">1</definedName>
    <definedName name="scen_user1" hidden="1">"DIRECCION DE INFORMATICA"</definedName>
    <definedName name="scen_value1" hidden="1">{"SUMINISTRO E INSTALACIÓN CANALETAS L=7.50"}</definedName>
    <definedName name="sdg" localSheetId="0">[0]!ERR</definedName>
    <definedName name="sdg">[0]!ERR</definedName>
    <definedName name="SERO" localSheetId="0">[0]!ERR</definedName>
    <definedName name="SERO">[0]!ERR</definedName>
    <definedName name="SESENTA" localSheetId="0">#REF!,#REF!</definedName>
    <definedName name="SESENTA">#REF!,#REF!</definedName>
    <definedName name="SETENTA" localSheetId="0">#REF!,#REF!</definedName>
    <definedName name="SETENTA">#REF!,#REF!</definedName>
    <definedName name="SFF" localSheetId="0">[0]!ERR</definedName>
    <definedName name="SFF">[0]!ERR</definedName>
    <definedName name="SI" localSheetId="0">[0]!ERR</definedName>
    <definedName name="SI">[0]!ERR</definedName>
    <definedName name="SISISIS" localSheetId="0">[0]!ERR</definedName>
    <definedName name="SISISIS">[0]!ERR</definedName>
    <definedName name="SSSS" localSheetId="0">[0]!ERR</definedName>
    <definedName name="SSSS">[0]!ERR</definedName>
    <definedName name="TARIFAS">[4]TARIFAS!$A$1:$F$52</definedName>
    <definedName name="TER" localSheetId="0">[0]!ERR</definedName>
    <definedName name="TER">[0]!ERR</definedName>
    <definedName name="TERM" localSheetId="0">[0]!ERR</definedName>
    <definedName name="TERM">[0]!ERR</definedName>
    <definedName name="TÉRMINOS" localSheetId="0">[0]!ERR</definedName>
    <definedName name="TÉRMINOS">[0]!ERR</definedName>
    <definedName name="_xlnm.Print_Titles" localSheetId="0">PRESUPUESTO!$1:$7</definedName>
    <definedName name="TREINTA" localSheetId="0">#REF!,#REF!</definedName>
    <definedName name="TREINTA">#REF!,#REF!</definedName>
    <definedName name="TRYRWTY" localSheetId="0">[0]!ERR</definedName>
    <definedName name="TRYRWTY">[0]!ERR</definedName>
    <definedName name="TUUYT" localSheetId="0">[0]!ERR</definedName>
    <definedName name="TUUYT">[0]!ERR</definedName>
    <definedName name="TYTRY" localSheetId="0">[0]!ERR</definedName>
    <definedName name="TYTRY">[0]!ERR</definedName>
    <definedName name="u">[2]AIUsan!$E$83</definedName>
    <definedName name="u_TEMPORAL_VILLAREAL" localSheetId="0">#REF!</definedName>
    <definedName name="u_TEMPORAL_VILLAREAL">#REF!</definedName>
    <definedName name="UNION_TEMPORAL" localSheetId="0">#REF!</definedName>
    <definedName name="UNION_TEMPORAL">#REF!</definedName>
    <definedName name="uriel" localSheetId="0">[0]!ERR</definedName>
    <definedName name="uriel">[0]!ERR</definedName>
    <definedName name="VALORES">[9]TARIFAS!$A$1:$F$52</definedName>
    <definedName name="VBNVBN" localSheetId="0">[0]!ERR</definedName>
    <definedName name="VBNVBN">[0]!ERR</definedName>
    <definedName name="VEINTE" localSheetId="0">#REF!,#REF!</definedName>
    <definedName name="VEINTE">#REF!,#REF!</definedName>
    <definedName name="VNBVN" localSheetId="0">[0]!ERR</definedName>
    <definedName name="VNBVN">[0]!ERR</definedName>
    <definedName name="VNXBN" localSheetId="0">[0]!ERR</definedName>
    <definedName name="VNXBN">[0]!ERR</definedName>
    <definedName name="WQ" localSheetId="0">[0]!ERR</definedName>
    <definedName name="WQ">[0]!ERR</definedName>
    <definedName name="WW" localSheetId="0">[0]!ERR</definedName>
    <definedName name="WW">[0]!ERR</definedName>
    <definedName name="WWW" localSheetId="0">[0]!ERR</definedName>
    <definedName name="WWW">[0]!ERR</definedName>
    <definedName name="XX" hidden="1">{"SUMINISTRO E INSTALACIÓN CANALETAS L=7.50"}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3" i="28" l="1"/>
  <c r="X15" i="28"/>
  <c r="W9" i="28"/>
  <c r="I15" i="26"/>
  <c r="D23" i="28"/>
  <c r="I13" i="26"/>
  <c r="O16" i="28"/>
  <c r="M16" i="28"/>
  <c r="K16" i="28"/>
  <c r="I16" i="28"/>
  <c r="G16" i="28"/>
  <c r="E16" i="28"/>
  <c r="N15" i="28"/>
  <c r="L15" i="28"/>
  <c r="J15" i="28"/>
  <c r="K22" i="28" s="1"/>
  <c r="F15" i="28"/>
  <c r="L9" i="28"/>
  <c r="J9" i="28"/>
  <c r="J18" i="28"/>
  <c r="J17" i="28"/>
  <c r="J24" i="28"/>
  <c r="L22" i="28"/>
  <c r="L21" i="28"/>
  <c r="L18" i="28"/>
  <c r="L17" i="28"/>
  <c r="L24" i="28"/>
  <c r="F9" i="28"/>
  <c r="F22" i="28"/>
  <c r="F21" i="28"/>
  <c r="F20" i="28"/>
  <c r="F19" i="28"/>
  <c r="F18" i="28"/>
  <c r="F17" i="28"/>
  <c r="F24" i="28"/>
  <c r="F23" i="28" l="1"/>
  <c r="L23" i="28"/>
  <c r="G18" i="28"/>
  <c r="J23" i="28"/>
  <c r="M22" i="28"/>
  <c r="K21" i="28"/>
  <c r="K20" i="28"/>
  <c r="M19" i="28"/>
  <c r="K17" i="28"/>
  <c r="M20" i="28"/>
  <c r="K18" i="28"/>
  <c r="K19" i="28"/>
  <c r="M21" i="28"/>
  <c r="G19" i="28"/>
  <c r="M17" i="28"/>
  <c r="M18" i="28"/>
  <c r="G20" i="28"/>
  <c r="G17" i="28"/>
  <c r="G21" i="28"/>
  <c r="G22" i="28"/>
  <c r="I16" i="26"/>
  <c r="I26" i="26"/>
  <c r="I25" i="26"/>
  <c r="I24" i="26"/>
  <c r="H27" i="26" l="1"/>
  <c r="V24" i="28"/>
  <c r="K23" i="28"/>
  <c r="K24" i="28" s="1"/>
  <c r="M23" i="28"/>
  <c r="M24" i="28" s="1"/>
  <c r="G23" i="28"/>
  <c r="G24" i="28" s="1"/>
  <c r="E18" i="26" l="1"/>
  <c r="E17" i="26"/>
  <c r="E16" i="26"/>
  <c r="E15" i="26"/>
  <c r="E14" i="26" l="1"/>
  <c r="E13" i="26"/>
  <c r="I14" i="26" l="1"/>
  <c r="J16" i="26"/>
  <c r="K16" i="26" s="1"/>
  <c r="I17" i="26"/>
  <c r="J17" i="26"/>
  <c r="J13" i="26"/>
  <c r="K13" i="26" s="1"/>
  <c r="J14" i="26"/>
  <c r="J15" i="26"/>
  <c r="I18" i="26"/>
  <c r="J18" i="26"/>
  <c r="T15" i="28"/>
  <c r="V15" i="28"/>
  <c r="U22" i="28"/>
  <c r="X17" i="28"/>
  <c r="X22" i="28"/>
  <c r="U21" i="28"/>
  <c r="U20" i="28"/>
  <c r="X20" i="28"/>
  <c r="U19" i="28"/>
  <c r="U18" i="28"/>
  <c r="S25" i="28"/>
  <c r="U17" i="28"/>
  <c r="W25" i="28"/>
  <c r="U15" i="28"/>
  <c r="Q17" i="28"/>
  <c r="N18" i="28"/>
  <c r="O18" i="28" s="1"/>
  <c r="N19" i="28"/>
  <c r="N20" i="28"/>
  <c r="N21" i="28"/>
  <c r="H23" i="28"/>
  <c r="N24" i="28"/>
  <c r="H13" i="28"/>
  <c r="H24" i="28" s="1"/>
  <c r="D13" i="28"/>
  <c r="D24" i="28" s="1"/>
  <c r="H15" i="28"/>
  <c r="I17" i="28" s="1"/>
  <c r="D15" i="28"/>
  <c r="D9" i="28"/>
  <c r="M7" i="26"/>
  <c r="Q24" i="28"/>
  <c r="Q23" i="28"/>
  <c r="Q22" i="28"/>
  <c r="Q21" i="28"/>
  <c r="Q20" i="28"/>
  <c r="Q19" i="28"/>
  <c r="Q18" i="28"/>
  <c r="U9" i="28"/>
  <c r="S9" i="28"/>
  <c r="AI17" i="28"/>
  <c r="AE17" i="28"/>
  <c r="N9" i="28"/>
  <c r="H9" i="28"/>
  <c r="AG17" i="28"/>
  <c r="AH17" i="28"/>
  <c r="AF17" i="28"/>
  <c r="AB23" i="28"/>
  <c r="X19" i="28"/>
  <c r="X18" i="28"/>
  <c r="X21" i="28"/>
  <c r="V17" i="28" l="1"/>
  <c r="AD17" i="28" s="1"/>
  <c r="K17" i="26"/>
  <c r="K18" i="26"/>
  <c r="N23" i="28"/>
  <c r="E17" i="28"/>
  <c r="E19" i="28"/>
  <c r="E21" i="28"/>
  <c r="E18" i="28"/>
  <c r="U23" i="28"/>
  <c r="U25" i="28" s="1"/>
  <c r="X23" i="28"/>
  <c r="X24" i="28" s="1"/>
  <c r="V22" i="28"/>
  <c r="Y22" i="28" s="1"/>
  <c r="V21" i="28"/>
  <c r="Y21" i="28" s="1"/>
  <c r="T17" i="28"/>
  <c r="O22" i="28"/>
  <c r="O21" i="28"/>
  <c r="O20" i="28"/>
  <c r="O19" i="28"/>
  <c r="I18" i="28"/>
  <c r="I21" i="28"/>
  <c r="I22" i="28"/>
  <c r="I19" i="28"/>
  <c r="L19" i="26"/>
  <c r="K15" i="26"/>
  <c r="E20" i="28"/>
  <c r="E22" i="28"/>
  <c r="I20" i="28"/>
  <c r="V18" i="28"/>
  <c r="Y18" i="28" s="1"/>
  <c r="V19" i="28"/>
  <c r="Y19" i="28" s="1"/>
  <c r="O17" i="28"/>
  <c r="K14" i="26"/>
  <c r="V20" i="28"/>
  <c r="Y20" i="28" s="1"/>
  <c r="K19" i="26" l="1"/>
  <c r="K20" i="26" s="1"/>
  <c r="Y17" i="28"/>
  <c r="P18" i="28"/>
  <c r="R18" i="28" s="1"/>
  <c r="Z18" i="28" s="1"/>
  <c r="P21" i="28"/>
  <c r="R21" i="28" s="1"/>
  <c r="Z21" i="28" s="1"/>
  <c r="P19" i="28"/>
  <c r="R19" i="28" s="1"/>
  <c r="E23" i="28"/>
  <c r="P22" i="28"/>
  <c r="R22" i="28" s="1"/>
  <c r="Z22" i="28" s="1"/>
  <c r="T24" i="28"/>
  <c r="Y24" i="28" s="1"/>
  <c r="P17" i="28"/>
  <c r="R17" i="28" s="1"/>
  <c r="P20" i="28"/>
  <c r="R20" i="28" s="1"/>
  <c r="Z20" i="28" s="1"/>
  <c r="AC17" i="28"/>
  <c r="I23" i="28"/>
  <c r="I24" i="28" s="1"/>
  <c r="O23" i="28"/>
  <c r="O24" i="28" s="1"/>
  <c r="V23" i="28"/>
  <c r="Y23" i="28" s="1"/>
  <c r="Z17" i="28" l="1"/>
  <c r="AA17" i="28" s="1"/>
  <c r="Z19" i="28"/>
  <c r="AA19" i="28" s="1"/>
  <c r="AA18" i="28"/>
  <c r="E24" i="28"/>
  <c r="P24" i="28" s="1"/>
  <c r="R24" i="28" s="1"/>
  <c r="AB24" i="28" s="1"/>
  <c r="AB25" i="28" s="1"/>
  <c r="AB26" i="28" s="1"/>
  <c r="AB27" i="28" s="1"/>
  <c r="P23" i="28"/>
  <c r="R23" i="28" s="1"/>
  <c r="Z23" i="28" s="1"/>
  <c r="AA21" i="28"/>
  <c r="AA20" i="28"/>
  <c r="H28" i="26"/>
  <c r="AA22" i="28"/>
  <c r="AA23" i="28" l="1"/>
  <c r="H29" i="26"/>
  <c r="H30" i="26" s="1"/>
  <c r="O30" i="26" l="1"/>
  <c r="Z24" i="28"/>
  <c r="Z25" i="28" s="1"/>
  <c r="Z26" i="28" s="1"/>
  <c r="Z27" i="28" s="1"/>
</calcChain>
</file>

<file path=xl/sharedStrings.xml><?xml version="1.0" encoding="utf-8"?>
<sst xmlns="http://schemas.openxmlformats.org/spreadsheetml/2006/main" count="161" uniqueCount="110">
  <si>
    <t xml:space="preserve">   </t>
  </si>
  <si>
    <t>No</t>
  </si>
  <si>
    <t>SUELDO MES</t>
  </si>
  <si>
    <t>DIAS</t>
  </si>
  <si>
    <t>TIEMPO MES</t>
  </si>
  <si>
    <t>VR. BASICO</t>
  </si>
  <si>
    <t>F.M.</t>
  </si>
  <si>
    <t>VR. PARCIAL</t>
  </si>
  <si>
    <t>2. COSTOS DIRECTOS</t>
  </si>
  <si>
    <t>CONCEPTO</t>
  </si>
  <si>
    <t>MES</t>
  </si>
  <si>
    <t>DEDICACION</t>
  </si>
  <si>
    <t>F.M=</t>
  </si>
  <si>
    <t>1. COSTOS DE PERSONAL</t>
  </si>
  <si>
    <t>CATEGORIA</t>
  </si>
  <si>
    <t>DESCRIPCION DEL PERFIL</t>
  </si>
  <si>
    <t>PERSONAL PROFESIONAL</t>
  </si>
  <si>
    <t>DIAS EFECTIVOS</t>
  </si>
  <si>
    <t>5. COSTO FINAL (ajustado al Peso)</t>
  </si>
  <si>
    <t>TIEMPO EFECT.</t>
  </si>
  <si>
    <t>4. IVA  19.00%</t>
  </si>
  <si>
    <t>CANT.</t>
  </si>
  <si>
    <t>UND</t>
  </si>
  <si>
    <t>Mes</t>
  </si>
  <si>
    <t xml:space="preserve">Plazo = </t>
  </si>
  <si>
    <r>
      <rPr>
        <b/>
        <sz val="16"/>
        <rFont val="Tahoma"/>
        <family val="2"/>
      </rPr>
      <t>REPUBLICA DE COLOMBIA
DEPARTAMENTO DE CASANARE</t>
    </r>
    <r>
      <rPr>
        <b/>
        <sz val="18"/>
        <rFont val="Tahoma"/>
        <family val="2"/>
      </rPr>
      <t xml:space="preserve">
</t>
    </r>
    <r>
      <rPr>
        <b/>
        <sz val="16"/>
        <rFont val="Tahoma"/>
        <family val="2"/>
      </rPr>
      <t>MUNICIPIO DE HATO COROZAL
SECRETARIA DE PLANEACIÓN Y POLITICA SECTORIAL</t>
    </r>
    <r>
      <rPr>
        <b/>
        <sz val="18"/>
        <rFont val="Tahoma"/>
        <family val="2"/>
      </rPr>
      <t xml:space="preserve">
</t>
    </r>
    <r>
      <rPr>
        <b/>
        <sz val="18"/>
        <rFont val="Segoe Script"/>
        <family val="2"/>
      </rPr>
      <t>"ALTO Y SOSTENIBLE"</t>
    </r>
  </si>
  <si>
    <t>COSTO</t>
  </si>
  <si>
    <t>No.</t>
  </si>
  <si>
    <t>IVA</t>
  </si>
  <si>
    <t>PLAN DE CARGAS</t>
  </si>
  <si>
    <t>OBJETO:</t>
  </si>
  <si>
    <t>PERSONAL A INTERVENIR</t>
  </si>
  <si>
    <t>TOTAL COSTO DE PERSONAL POR PRODUCTOS</t>
  </si>
  <si>
    <t>PRODUCTOS</t>
  </si>
  <si>
    <t>TIEMPO DEDICACION</t>
  </si>
  <si>
    <t>CANTIDAD</t>
  </si>
  <si>
    <t>UNIDAD</t>
  </si>
  <si>
    <t>VALOR MES</t>
  </si>
  <si>
    <t>% DEDICACION</t>
  </si>
  <si>
    <t>V/TOTAL</t>
  </si>
  <si>
    <t>PERSONAL REQUERIDO</t>
  </si>
  <si>
    <t>No. Requerido</t>
  </si>
  <si>
    <t>1.   COSTOS DE PERSONAL</t>
  </si>
  <si>
    <t>TIEMPO DE DEDICACION</t>
  </si>
  <si>
    <t>VALOR MENSUAL</t>
  </si>
  <si>
    <t>TIEMPO TOTAL DEDICADO  ACTIVIDAD- PROFESIONAL MENSUAL</t>
  </si>
  <si>
    <t>COSTO MENSUAL</t>
  </si>
  <si>
    <t>TOTAL COSTOS DE PERSONAL</t>
  </si>
  <si>
    <t>TOTAL COSTOS DIRECTOS</t>
  </si>
  <si>
    <t>3. COSTOS DE PERSONAL + COSTOS DIRECTOS</t>
  </si>
  <si>
    <t>SECRETARIO DE PLANEACION Y POLITICA SECTORIAL</t>
  </si>
  <si>
    <t>RESTRICCIÓN EN MESES</t>
  </si>
  <si>
    <t>CRONOGRAMA DE ACTIVIDADES</t>
  </si>
  <si>
    <t>1 MES</t>
  </si>
  <si>
    <t>2 MES</t>
  </si>
  <si>
    <t>TIEMPO DE EJECUCIÓN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</si>
  <si>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</si>
  <si>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</si>
  <si>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</si>
  <si>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</si>
  <si>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</si>
  <si>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</si>
  <si>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</si>
  <si>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</si>
  <si>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Profesional de Apoyo</t>
  </si>
  <si>
    <t>MESES</t>
  </si>
  <si>
    <t>TOTAL COSTOS PROFESIONALES</t>
  </si>
  <si>
    <t>ITEM</t>
  </si>
  <si>
    <t>CARGO A OCUPAR EN LA CONSULTORIA</t>
  </si>
  <si>
    <t>TITULO PREGADO</t>
  </si>
  <si>
    <t>TITULO POSGRADO</t>
  </si>
  <si>
    <t>REQUISITOS MINIMOS</t>
  </si>
  <si>
    <t>% DEDICACIÓN</t>
  </si>
  <si>
    <t>Apoyo:</t>
  </si>
  <si>
    <t>Apoyó:</t>
  </si>
  <si>
    <t xml:space="preserve">Vo.Bo. </t>
  </si>
  <si>
    <t>Secretaria de Planeación y Politica Sectorial</t>
  </si>
  <si>
    <t xml:space="preserve">OBJETO CONSULTORIA: </t>
  </si>
  <si>
    <t xml:space="preserve">Apoyó: </t>
  </si>
  <si>
    <t xml:space="preserve">PRODUCTOS
</t>
  </si>
  <si>
    <t>2 MESES</t>
  </si>
  <si>
    <t xml:space="preserve"> COSTOS  DIRECTOS POR PRODUCTOS</t>
  </si>
  <si>
    <t>REALIZAR SENEAMIENTO PREDIAL, LEVANTAMIENTOS TOPOGRAFICOS Y TITULACIÓN DE PREDIOS EN ÁREA URBANA DEL MUNICIPIO DE HATO COROZAL, CASANARE</t>
  </si>
  <si>
    <t>Levantamientos topograficos</t>
  </si>
  <si>
    <t>Expedición de resoluciones de adjudicación a solicitantes</t>
  </si>
  <si>
    <t>implementación de la Instrucción Administrativa Nº 03 de fecha 26 de marzo de 2015, la Nº 06 de fecha 19 de junio de 2015 y la Nº 11 de fecha 24 de mayo de 2017, todas del Superintendente de Notariado y Registro.</t>
  </si>
  <si>
    <t>Radicación ante ORIP Paz de Ariporo de la resoluciones de DDP</t>
  </si>
  <si>
    <t>Expedición de resoluciones de declaración de dominio pleno (DDP) a favor del municpio de Hato Corozal</t>
  </si>
  <si>
    <t>Radicación ante ORIP Paz de Ariporo de las resoluciones de adjudicación</t>
  </si>
  <si>
    <r>
      <rPr>
        <b/>
        <sz val="17"/>
        <rFont val="Calibri"/>
        <family val="2"/>
      </rPr>
      <t>PRESUPUESTO OFICIAL</t>
    </r>
    <r>
      <rPr>
        <sz val="17"/>
        <rFont val="Calibri"/>
        <family val="2"/>
      </rPr>
      <t>:</t>
    </r>
    <r>
      <rPr>
        <sz val="16"/>
        <rFont val="Calibri"/>
        <family val="2"/>
      </rPr>
      <t xml:space="preserve"> CIENTO DIEZ MILLONES DE PESOS ($110.000.000)</t>
    </r>
  </si>
  <si>
    <t>Papeleria y comunicaciones</t>
  </si>
  <si>
    <t>º</t>
  </si>
  <si>
    <r>
      <rPr>
        <b/>
        <sz val="11"/>
        <rFont val="Arial"/>
        <family val="2"/>
      </rPr>
      <t>INGENIERO CIVIL</t>
    </r>
    <r>
      <rPr>
        <sz val="11"/>
        <rFont val="Arial"/>
        <family val="2"/>
      </rPr>
      <t>.Profesional en ingenieria civil, experiencia general miníma de 02 años.</t>
    </r>
  </si>
  <si>
    <r>
      <rPr>
        <b/>
        <sz val="11"/>
        <rFont val="Arial"/>
        <family val="2"/>
      </rPr>
      <t xml:space="preserve">DIRECTOR ESPECIALISTA DE PROYECTOS: </t>
    </r>
    <r>
      <rPr>
        <sz val="11"/>
        <rFont val="Arial"/>
        <family val="2"/>
      </rPr>
      <t>Profesional en Ingenieria de vias y transporte,con título especialista en área afín. Experiencia general de no menor a seis (06) años.</t>
    </r>
  </si>
  <si>
    <r>
      <rPr>
        <b/>
        <sz val="11"/>
        <rFont val="Arial"/>
        <family val="2"/>
      </rPr>
      <t>TOPOGRAFO:</t>
    </r>
    <r>
      <rPr>
        <sz val="11"/>
        <rFont val="Arial"/>
        <family val="2"/>
      </rPr>
      <t xml:space="preserve"> Profesional con título de pregrado en una rama afín al proyecto y con experiencia profesional no menor de cinco (5) años.</t>
    </r>
  </si>
  <si>
    <r>
      <t xml:space="preserve">OBJETO CONSULTORIA: </t>
    </r>
    <r>
      <rPr>
        <sz val="16"/>
        <color theme="1"/>
        <rFont val="Arial"/>
        <family val="2"/>
      </rPr>
      <t xml:space="preserve">REALIZAR SANEAMIENTO PREDIAL, LEVANTAMIENTOS TOPOGRAFICOS Y TITULACIÓN DE PREDIOS EN ÁREA URBANA DEL MUNICIPIO DE HATO COROZAL, CASANARE            </t>
    </r>
    <r>
      <rPr>
        <b/>
        <sz val="16"/>
        <color theme="1"/>
        <rFont val="Arial"/>
        <family val="2"/>
      </rPr>
      <t xml:space="preserve">      </t>
    </r>
  </si>
  <si>
    <r>
      <rPr>
        <b/>
        <sz val="11"/>
        <rFont val="Arial"/>
        <family val="2"/>
      </rPr>
      <t>ABOGADO ESPECIALISTA</t>
    </r>
    <r>
      <rPr>
        <sz val="11"/>
        <rFont val="Arial"/>
        <family val="2"/>
      </rPr>
      <t>: Profesional en derecho, con titulo de especialización en áreas afines, experiencia general no meñor a (06) años y relacionada al menos de cuatro (04) años.</t>
    </r>
  </si>
  <si>
    <r>
      <rPr>
        <b/>
        <sz val="11"/>
        <rFont val="Arial"/>
        <family val="2"/>
      </rPr>
      <t xml:space="preserve">ARQUITECTO: </t>
    </r>
    <r>
      <rPr>
        <sz val="11"/>
        <rFont val="Arial"/>
        <family val="2"/>
      </rPr>
      <t>Profesional en arquitectura, con experiencia profesional no menor a dos (02) años.</t>
    </r>
  </si>
  <si>
    <t>Alquiler transporte para vehiculos tipo campero PC KUP, camioneta o similar, con cilindraje desde 1300 cc hasta 1999 cc incluyendo los costos de mantenimiento, conductor y combustible</t>
  </si>
  <si>
    <t>Comisión topográfica que incluye:
• Personal: Topógrafo certificado, dos cadeneros,
• Equipos con certificados de verificación y ajuste vigentes para estación total, nivel de precisión.
• Radios, GPS y otros medios de comunicación
• Procesamiento de Información: planos en medio físico y magnético e informe impreso.
• Elementos de apoyo, estaca, pinturas.</t>
  </si>
  <si>
    <t>Dia</t>
  </si>
  <si>
    <t>% DE DEDICACION Y COSTO MENSUAL</t>
  </si>
  <si>
    <t>DIA</t>
  </si>
  <si>
    <t>N° REQUERIDO</t>
  </si>
  <si>
    <t xml:space="preserve"> COSTOS PERSONAL + COSTOS DIRECTOS</t>
  </si>
  <si>
    <t>COSTO FINAL</t>
  </si>
  <si>
    <r>
      <rPr>
        <b/>
        <sz val="11"/>
        <rFont val="Arial"/>
        <family val="2"/>
      </rPr>
      <t>CADENERO</t>
    </r>
    <r>
      <rPr>
        <sz val="11"/>
        <rFont val="Arial"/>
        <family val="2"/>
      </rPr>
      <t>, con experiencia general de 6 meses.</t>
    </r>
  </si>
  <si>
    <t xml:space="preserve">REALIZAR SANEAMIENTO PREDIAL, LEVANTAMIENTOS TOPOGRAFICOS Y TITULACIÓN DE PREDIOS EN ÁREA URBANA DEL MUNICIPIO DE HATO COROZAL, CASANARE          </t>
  </si>
  <si>
    <t>ANA FERNANDA SOTO DAZA</t>
  </si>
  <si>
    <t>ANGIE PAOLA DELGADO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</si>
</sst>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#,##0.00\ &quot;€&quot;;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 &quot;$&quot;\ * #,##0.00_ ;_ &quot;$&quot;\ * \-#,##0.00_ ;_ &quot;$&quot;\ * &quot;-&quot;??_ ;_ @_ "/>
    <numFmt numFmtId="172" formatCode="_ * #,##0.00_ ;_ * \-#,##0.00_ ;_ * &quot;-&quot;??_ ;_ @_ "/>
    <numFmt numFmtId="173" formatCode="_ [$€-2]\ * #,##0.00_ ;_ [$€-2]\ * \-#,##0.00_ ;_ [$€-2]\ * &quot;-&quot;??_ "/>
    <numFmt numFmtId="174" formatCode="&quot;$&quot;#,##0\ ;\(&quot;$&quot;#,##0\)"/>
    <numFmt numFmtId="175" formatCode="_-* #,##0.0000\ _€_-;\-* #,##0.0000\ _€_-;_-* &quot;-&quot;??\ _€_-;_-@_-"/>
    <numFmt numFmtId="176" formatCode="_(&quot;$&quot;\ * #,##0_);_(&quot;$&quot;\ * \(#,##0\);_(&quot;$&quot;\ * &quot;-&quot;??_);_(@_)"/>
    <numFmt numFmtId="177" formatCode="0.0"/>
    <numFmt numFmtId="178" formatCode="#,##0.00000"/>
    <numFmt numFmtId="179" formatCode="_-&quot;$&quot;* #,##0.0_-;\-&quot;$&quot;* #,##0.0_-;_-&quot;$&quot;* &quot;-&quot;_-;_-@_-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24"/>
      <name val="Arial"/>
      <family val="2"/>
    </font>
    <font>
      <sz val="10"/>
      <name val="Helv"/>
      <charset val="204"/>
    </font>
    <font>
      <sz val="14"/>
      <color indexed="24"/>
      <name val="Arial"/>
      <family val="2"/>
    </font>
    <font>
      <sz val="12"/>
      <color indexed="24"/>
      <name val="Arial"/>
      <family val="2"/>
    </font>
    <font>
      <sz val="10"/>
      <name val="Courier"/>
      <family val="3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6"/>
      <name val="Arial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sz val="18"/>
      <name val="Segoe Script"/>
      <family val="2"/>
    </font>
    <font>
      <sz val="16"/>
      <name val="Calibri"/>
      <family val="2"/>
    </font>
    <font>
      <b/>
      <sz val="16"/>
      <name val="Calibri"/>
      <family val="2"/>
    </font>
    <font>
      <sz val="17"/>
      <name val="Calibri"/>
      <family val="2"/>
    </font>
    <font>
      <b/>
      <sz val="17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1"/>
      <name val="Arial"/>
      <family val="2"/>
    </font>
    <font>
      <sz val="11"/>
      <color indexed="8"/>
      <name val="Arial Narrow"/>
      <family val="2"/>
    </font>
    <font>
      <b/>
      <sz val="16"/>
      <color indexed="8"/>
      <name val="Calibri"/>
      <family val="2"/>
      <scheme val="minor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8"/>
      <color indexed="8"/>
      <name val="Arial Narrow"/>
      <family val="2"/>
    </font>
    <font>
      <sz val="12"/>
      <color indexed="8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sz val="16"/>
      <color theme="0" tint="-0.14999847407452621"/>
      <name val="Calibri"/>
      <family val="2"/>
    </font>
    <font>
      <sz val="12"/>
      <color theme="0" tint="-0.14999847407452621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1"/>
      <color theme="1" tint="0.499984740745262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71">
    <xf numFmtId="0" fontId="0" fillId="0" borderId="0"/>
    <xf numFmtId="3" fontId="7" fillId="0" borderId="0" applyFont="0" applyFill="0" applyBorder="0" applyAlignment="0" applyProtection="0"/>
    <xf numFmtId="0" fontId="3" fillId="0" borderId="0">
      <alignment horizontal="center"/>
    </xf>
    <xf numFmtId="0" fontId="6" fillId="0" borderId="0">
      <alignment horizontal="center"/>
    </xf>
    <xf numFmtId="17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/>
    <xf numFmtId="173" fontId="3" fillId="0" borderId="0" applyFont="0" applyFill="0" applyBorder="0" applyAlignment="0" applyProtection="0"/>
    <xf numFmtId="173" fontId="6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8" fontId="3" fillId="0" borderId="0" applyFont="0" applyFill="0" applyBorder="0" applyAlignment="0" applyProtection="0"/>
    <xf numFmtId="176" fontId="6" fillId="0" borderId="0" applyFill="0" applyBorder="0" applyAlignment="0" applyProtection="0"/>
    <xf numFmtId="168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3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164" fontId="25" fillId="0" borderId="0" applyFont="0" applyFill="0" applyBorder="0" applyAlignment="0" applyProtection="0"/>
    <xf numFmtId="0" fontId="2" fillId="0" borderId="0"/>
    <xf numFmtId="0" fontId="3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9" fontId="13" fillId="0" borderId="2" xfId="44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6" fontId="13" fillId="0" borderId="2" xfId="17" applyFont="1" applyBorder="1" applyAlignment="1">
      <alignment horizontal="center" vertical="center" wrapText="1"/>
    </xf>
    <xf numFmtId="176" fontId="13" fillId="0" borderId="2" xfId="17" applyNumberFormat="1" applyFont="1" applyBorder="1" applyAlignment="1">
      <alignment horizontal="center" vertical="center" wrapText="1"/>
    </xf>
    <xf numFmtId="0" fontId="20" fillId="0" borderId="0" xfId="43" applyFont="1" applyAlignment="1">
      <alignment horizontal="left" vertical="center" wrapText="1"/>
    </xf>
    <xf numFmtId="166" fontId="0" fillId="0" borderId="0" xfId="17" applyFont="1" applyBorder="1" applyAlignment="1">
      <alignment vertical="center" wrapText="1"/>
    </xf>
    <xf numFmtId="166" fontId="0" fillId="0" borderId="0" xfId="0" applyNumberFormat="1" applyAlignment="1">
      <alignment horizontal="center" vertical="center" wrapText="1"/>
    </xf>
    <xf numFmtId="165" fontId="0" fillId="2" borderId="0" xfId="0" applyNumberFormat="1" applyFill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2" fontId="26" fillId="2" borderId="2" xfId="0" applyNumberFormat="1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9" fontId="34" fillId="2" borderId="2" xfId="0" applyNumberFormat="1" applyFont="1" applyFill="1" applyBorder="1" applyAlignment="1">
      <alignment horizontal="center" vertical="center"/>
    </xf>
    <xf numFmtId="4" fontId="34" fillId="2" borderId="2" xfId="0" applyNumberFormat="1" applyFont="1" applyFill="1" applyBorder="1" applyAlignment="1">
      <alignment horizontal="center" vertical="center"/>
    </xf>
    <xf numFmtId="4" fontId="34" fillId="4" borderId="2" xfId="0" applyNumberFormat="1" applyFont="1" applyFill="1" applyBorder="1" applyAlignment="1">
      <alignment horizontal="center" vertical="center"/>
    </xf>
    <xf numFmtId="9" fontId="34" fillId="2" borderId="2" xfId="44" applyFont="1" applyFill="1" applyBorder="1" applyAlignment="1">
      <alignment horizontal="center" vertical="center"/>
    </xf>
    <xf numFmtId="9" fontId="34" fillId="0" borderId="6" xfId="0" applyNumberFormat="1" applyFont="1" applyBorder="1" applyAlignment="1">
      <alignment horizontal="center" vertical="center"/>
    </xf>
    <xf numFmtId="166" fontId="34" fillId="4" borderId="2" xfId="17" applyFont="1" applyFill="1" applyBorder="1" applyAlignment="1">
      <alignment horizontal="center" vertical="center"/>
    </xf>
    <xf numFmtId="2" fontId="34" fillId="0" borderId="6" xfId="0" applyNumberFormat="1" applyFont="1" applyBorder="1" applyAlignment="1">
      <alignment horizontal="center" vertical="center"/>
    </xf>
    <xf numFmtId="2" fontId="34" fillId="2" borderId="11" xfId="0" applyNumberFormat="1" applyFont="1" applyFill="1" applyBorder="1" applyAlignment="1">
      <alignment horizontal="center" vertical="center"/>
    </xf>
    <xf numFmtId="9" fontId="32" fillId="2" borderId="2" xfId="44" applyFont="1" applyFill="1" applyBorder="1" applyAlignment="1">
      <alignment horizontal="center" vertical="center"/>
    </xf>
    <xf numFmtId="9" fontId="34" fillId="2" borderId="22" xfId="44" applyFont="1" applyFill="1" applyBorder="1" applyAlignment="1">
      <alignment horizontal="center" vertical="center"/>
    </xf>
    <xf numFmtId="4" fontId="34" fillId="4" borderId="0" xfId="0" applyNumberFormat="1" applyFont="1" applyFill="1" applyAlignment="1">
      <alignment horizontal="center" vertical="center"/>
    </xf>
    <xf numFmtId="9" fontId="34" fillId="2" borderId="17" xfId="44" applyFont="1" applyFill="1" applyBorder="1" applyAlignment="1">
      <alignment horizontal="center" vertical="center"/>
    </xf>
    <xf numFmtId="9" fontId="34" fillId="2" borderId="0" xfId="44" applyFont="1" applyFill="1" applyBorder="1" applyAlignment="1">
      <alignment horizontal="center" vertical="center"/>
    </xf>
    <xf numFmtId="4" fontId="30" fillId="5" borderId="0" xfId="0" applyNumberFormat="1" applyFont="1" applyFill="1" applyAlignment="1">
      <alignment horizontal="right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78" fontId="30" fillId="5" borderId="0" xfId="0" applyNumberFormat="1" applyFont="1" applyFill="1" applyAlignment="1">
      <alignment horizontal="right" vertical="center"/>
    </xf>
    <xf numFmtId="0" fontId="0" fillId="2" borderId="4" xfId="0" applyFill="1" applyBorder="1"/>
    <xf numFmtId="0" fontId="0" fillId="2" borderId="0" xfId="0" applyFill="1"/>
    <xf numFmtId="0" fontId="0" fillId="4" borderId="0" xfId="0" applyFill="1"/>
    <xf numFmtId="0" fontId="0" fillId="4" borderId="5" xfId="0" applyFill="1" applyBorder="1"/>
    <xf numFmtId="0" fontId="38" fillId="2" borderId="0" xfId="0" applyFont="1" applyFill="1"/>
    <xf numFmtId="0" fontId="38" fillId="4" borderId="0" xfId="0" applyFont="1" applyFill="1"/>
    <xf numFmtId="0" fontId="38" fillId="4" borderId="5" xfId="0" applyFont="1" applyFill="1" applyBorder="1"/>
    <xf numFmtId="0" fontId="38" fillId="2" borderId="4" xfId="0" applyFont="1" applyFill="1" applyBorder="1"/>
    <xf numFmtId="0" fontId="39" fillId="2" borderId="0" xfId="0" applyFont="1" applyFill="1"/>
    <xf numFmtId="0" fontId="27" fillId="2" borderId="0" xfId="0" applyFont="1" applyFill="1"/>
    <xf numFmtId="0" fontId="39" fillId="4" borderId="0" xfId="0" applyFont="1" applyFill="1"/>
    <xf numFmtId="0" fontId="39" fillId="4" borderId="5" xfId="0" applyFont="1" applyFill="1" applyBorder="1"/>
    <xf numFmtId="0" fontId="39" fillId="2" borderId="4" xfId="0" applyFont="1" applyFill="1" applyBorder="1"/>
    <xf numFmtId="0" fontId="40" fillId="2" borderId="0" xfId="0" applyFont="1" applyFill="1" applyAlignment="1">
      <alignment vertical="center" wrapText="1"/>
    </xf>
    <xf numFmtId="9" fontId="26" fillId="2" borderId="6" xfId="0" applyNumberFormat="1" applyFont="1" applyFill="1" applyBorder="1" applyAlignment="1">
      <alignment horizontal="center" vertical="center" wrapText="1"/>
    </xf>
    <xf numFmtId="0" fontId="45" fillId="2" borderId="0" xfId="51" applyFont="1" applyFill="1" applyAlignment="1">
      <alignment vertical="center"/>
    </xf>
    <xf numFmtId="0" fontId="49" fillId="2" borderId="2" xfId="52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9" fontId="26" fillId="2" borderId="2" xfId="44" applyFont="1" applyFill="1" applyBorder="1" applyAlignment="1">
      <alignment horizontal="center" vertical="center" wrapText="1"/>
    </xf>
    <xf numFmtId="166" fontId="26" fillId="4" borderId="2" xfId="17" applyFont="1" applyFill="1" applyBorder="1" applyAlignment="1">
      <alignment vertical="center" wrapText="1"/>
    </xf>
    <xf numFmtId="166" fontId="34" fillId="4" borderId="14" xfId="17" applyFont="1" applyFill="1" applyBorder="1" applyAlignment="1">
      <alignment horizontal="center" vertical="center"/>
    </xf>
    <xf numFmtId="0" fontId="32" fillId="0" borderId="0" xfId="0" applyFont="1"/>
    <xf numFmtId="0" fontId="36" fillId="2" borderId="0" xfId="0" applyFont="1" applyFill="1" applyAlignment="1">
      <alignment horizontal="right" vertical="center" wrapText="1"/>
    </xf>
    <xf numFmtId="0" fontId="36" fillId="2" borderId="0" xfId="0" applyFont="1" applyFill="1" applyAlignment="1">
      <alignment horizontal="right" vertical="center"/>
    </xf>
    <xf numFmtId="0" fontId="34" fillId="2" borderId="4" xfId="0" applyFont="1" applyFill="1" applyBorder="1" applyAlignment="1">
      <alignment horizontal="center" vertical="center"/>
    </xf>
    <xf numFmtId="0" fontId="21" fillId="0" borderId="0" xfId="43" applyFont="1" applyAlignment="1">
      <alignment horizontal="center" vertical="center" wrapText="1"/>
    </xf>
    <xf numFmtId="0" fontId="45" fillId="2" borderId="2" xfId="51" applyFont="1" applyFill="1" applyBorder="1" applyAlignment="1">
      <alignment vertical="center"/>
    </xf>
    <xf numFmtId="164" fontId="34" fillId="2" borderId="2" xfId="50" applyFont="1" applyFill="1" applyBorder="1" applyAlignment="1">
      <alignment vertical="center"/>
    </xf>
    <xf numFmtId="164" fontId="34" fillId="2" borderId="2" xfId="50" applyFont="1" applyFill="1" applyBorder="1" applyAlignment="1">
      <alignment horizontal="center" vertical="center"/>
    </xf>
    <xf numFmtId="164" fontId="34" fillId="4" borderId="2" xfId="50" applyFont="1" applyFill="1" applyBorder="1" applyAlignment="1">
      <alignment horizontal="center" vertical="center"/>
    </xf>
    <xf numFmtId="164" fontId="35" fillId="4" borderId="9" xfId="50" applyFont="1" applyFill="1" applyBorder="1" applyAlignment="1">
      <alignment horizontal="center" vertical="center"/>
    </xf>
    <xf numFmtId="9" fontId="34" fillId="0" borderId="2" xfId="44" applyFont="1" applyBorder="1" applyAlignment="1">
      <alignment horizontal="center" vertical="center"/>
    </xf>
    <xf numFmtId="4" fontId="0" fillId="0" borderId="0" xfId="0" applyNumberFormat="1"/>
    <xf numFmtId="177" fontId="13" fillId="0" borderId="2" xfId="0" applyNumberFormat="1" applyFont="1" applyBorder="1" applyAlignment="1">
      <alignment horizontal="center" vertical="center" wrapText="1"/>
    </xf>
    <xf numFmtId="0" fontId="20" fillId="0" borderId="0" xfId="43" applyFont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2" borderId="10" xfId="0" applyFill="1" applyBorder="1"/>
    <xf numFmtId="0" fontId="27" fillId="2" borderId="7" xfId="0" applyFont="1" applyFill="1" applyBorder="1" applyAlignment="1">
      <alignment vertical="center"/>
    </xf>
    <xf numFmtId="0" fontId="41" fillId="4" borderId="7" xfId="0" applyFont="1" applyFill="1" applyBorder="1" applyAlignment="1">
      <alignment vertical="center"/>
    </xf>
    <xf numFmtId="0" fontId="41" fillId="4" borderId="18" xfId="0" applyFont="1" applyFill="1" applyBorder="1" applyAlignment="1">
      <alignment vertical="center"/>
    </xf>
    <xf numFmtId="0" fontId="41" fillId="2" borderId="26" xfId="0" applyFont="1" applyFill="1" applyBorder="1" applyAlignment="1">
      <alignment vertical="center"/>
    </xf>
    <xf numFmtId="0" fontId="42" fillId="2" borderId="7" xfId="0" applyFont="1" applyFill="1" applyBorder="1"/>
    <xf numFmtId="0" fontId="38" fillId="2" borderId="7" xfId="0" applyFont="1" applyFill="1" applyBorder="1"/>
    <xf numFmtId="0" fontId="43" fillId="2" borderId="7" xfId="0" applyFont="1" applyFill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5" fillId="2" borderId="17" xfId="0" applyFont="1" applyFill="1" applyBorder="1" applyAlignment="1">
      <alignment horizontal="left" vertical="center" wrapText="1"/>
    </xf>
    <xf numFmtId="166" fontId="15" fillId="2" borderId="24" xfId="17" applyFont="1" applyFill="1" applyBorder="1" applyAlignment="1">
      <alignment vertical="center" wrapText="1"/>
    </xf>
    <xf numFmtId="0" fontId="20" fillId="0" borderId="17" xfId="43" applyFont="1" applyBorder="1" applyAlignment="1">
      <alignment horizontal="left" vertical="center" wrapText="1"/>
    </xf>
    <xf numFmtId="0" fontId="20" fillId="0" borderId="24" xfId="43" applyFont="1" applyBorder="1" applyAlignment="1">
      <alignment horizontal="left" vertical="center" wrapText="1"/>
    </xf>
    <xf numFmtId="166" fontId="20" fillId="0" borderId="24" xfId="43" applyNumberFormat="1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6" fontId="13" fillId="0" borderId="20" xfId="0" applyNumberFormat="1" applyFont="1" applyBorder="1" applyAlignment="1">
      <alignment vertical="center" wrapText="1"/>
    </xf>
    <xf numFmtId="0" fontId="20" fillId="0" borderId="0" xfId="43" applyFont="1" applyAlignment="1">
      <alignment vertical="center" wrapText="1"/>
    </xf>
    <xf numFmtId="0" fontId="56" fillId="0" borderId="0" xfId="43" applyFont="1" applyAlignment="1">
      <alignment horizontal="center" vertical="center" wrapText="1"/>
    </xf>
    <xf numFmtId="0" fontId="21" fillId="0" borderId="7" xfId="43" applyFont="1" applyBorder="1" applyAlignment="1">
      <alignment horizontal="center" vertical="center" wrapText="1"/>
    </xf>
    <xf numFmtId="0" fontId="20" fillId="0" borderId="7" xfId="43" applyFont="1" applyBorder="1" applyAlignment="1">
      <alignment vertical="center" wrapText="1"/>
    </xf>
    <xf numFmtId="0" fontId="54" fillId="0" borderId="0" xfId="43" applyFont="1" applyAlignment="1">
      <alignment horizontal="center" vertical="center" wrapText="1"/>
    </xf>
    <xf numFmtId="0" fontId="20" fillId="0" borderId="7" xfId="43" applyFont="1" applyBorder="1" applyAlignment="1">
      <alignment horizontal="left" vertical="center" wrapText="1"/>
    </xf>
    <xf numFmtId="0" fontId="57" fillId="0" borderId="0" xfId="43" applyFont="1" applyAlignment="1">
      <alignment vertical="center" wrapText="1"/>
    </xf>
    <xf numFmtId="0" fontId="26" fillId="2" borderId="0" xfId="0" applyFont="1" applyFill="1" applyAlignment="1">
      <alignment wrapText="1"/>
    </xf>
    <xf numFmtId="0" fontId="55" fillId="2" borderId="0" xfId="51" applyFont="1" applyFill="1" applyAlignment="1">
      <alignment vertical="center"/>
    </xf>
    <xf numFmtId="0" fontId="58" fillId="2" borderId="0" xfId="51" applyFont="1" applyFill="1" applyAlignment="1">
      <alignment vertical="center"/>
    </xf>
    <xf numFmtId="9" fontId="13" fillId="0" borderId="11" xfId="44" applyFont="1" applyBorder="1" applyAlignment="1">
      <alignment horizontal="center" vertical="center" wrapText="1"/>
    </xf>
    <xf numFmtId="166" fontId="13" fillId="0" borderId="11" xfId="17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38" fillId="0" borderId="0" xfId="0" applyFont="1"/>
    <xf numFmtId="0" fontId="1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9" fontId="34" fillId="0" borderId="14" xfId="44" applyFont="1" applyBorder="1" applyAlignment="1">
      <alignment horizontal="center" vertical="center"/>
    </xf>
    <xf numFmtId="4" fontId="34" fillId="4" borderId="2" xfId="0" applyNumberFormat="1" applyFont="1" applyFill="1" applyBorder="1" applyAlignment="1">
      <alignment vertical="center"/>
    </xf>
    <xf numFmtId="164" fontId="38" fillId="2" borderId="0" xfId="0" applyNumberFormat="1" applyFont="1" applyFill="1"/>
    <xf numFmtId="164" fontId="30" fillId="0" borderId="2" xfId="0" applyNumberFormat="1" applyFont="1" applyBorder="1"/>
    <xf numFmtId="164" fontId="30" fillId="2" borderId="2" xfId="0" applyNumberFormat="1" applyFont="1" applyFill="1" applyBorder="1"/>
    <xf numFmtId="0" fontId="61" fillId="2" borderId="0" xfId="0" applyFont="1" applyFill="1"/>
    <xf numFmtId="164" fontId="0" fillId="0" borderId="0" xfId="0" applyNumberFormat="1"/>
    <xf numFmtId="0" fontId="53" fillId="7" borderId="2" xfId="51" applyFont="1" applyFill="1" applyBorder="1" applyAlignment="1">
      <alignment horizontal="center" vertical="center"/>
    </xf>
    <xf numFmtId="0" fontId="45" fillId="2" borderId="0" xfId="51" applyFont="1" applyFill="1" applyAlignment="1">
      <alignment horizontal="center" vertical="center"/>
    </xf>
    <xf numFmtId="2" fontId="16" fillId="0" borderId="0" xfId="0" applyNumberFormat="1" applyFont="1" applyAlignment="1">
      <alignment vertical="center" wrapText="1"/>
    </xf>
    <xf numFmtId="0" fontId="42" fillId="4" borderId="2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44" fillId="0" borderId="21" xfId="0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59" fillId="2" borderId="32" xfId="0" applyFont="1" applyFill="1" applyBorder="1" applyAlignment="1">
      <alignment horizontal="center" vertical="center"/>
    </xf>
    <xf numFmtId="0" fontId="59" fillId="2" borderId="4" xfId="0" applyFont="1" applyFill="1" applyBorder="1" applyAlignment="1">
      <alignment horizontal="center" vertical="center" wrapText="1"/>
    </xf>
    <xf numFmtId="0" fontId="59" fillId="2" borderId="22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3" fillId="2" borderId="0" xfId="0" applyFont="1" applyFill="1"/>
    <xf numFmtId="0" fontId="45" fillId="0" borderId="2" xfId="51" applyFont="1" applyBorder="1" applyAlignment="1">
      <alignment vertical="center"/>
    </xf>
    <xf numFmtId="0" fontId="47" fillId="2" borderId="6" xfId="51" applyFont="1" applyFill="1" applyBorder="1" applyAlignment="1">
      <alignment horizontal="center" vertical="center"/>
    </xf>
    <xf numFmtId="0" fontId="45" fillId="2" borderId="4" xfId="51" applyFont="1" applyFill="1" applyBorder="1" applyAlignment="1">
      <alignment horizontal="center" vertical="center"/>
    </xf>
    <xf numFmtId="0" fontId="45" fillId="2" borderId="4" xfId="51" applyFont="1" applyFill="1" applyBorder="1" applyAlignment="1">
      <alignment vertical="center"/>
    </xf>
    <xf numFmtId="0" fontId="55" fillId="2" borderId="4" xfId="51" applyFont="1" applyFill="1" applyBorder="1" applyAlignment="1">
      <alignment vertical="center"/>
    </xf>
    <xf numFmtId="0" fontId="26" fillId="2" borderId="4" xfId="0" applyFont="1" applyFill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right" vertical="center"/>
    </xf>
    <xf numFmtId="9" fontId="34" fillId="2" borderId="1" xfId="44" applyFont="1" applyFill="1" applyBorder="1" applyAlignment="1">
      <alignment horizontal="center" vertical="center"/>
    </xf>
    <xf numFmtId="166" fontId="26" fillId="4" borderId="11" xfId="17" applyFont="1" applyFill="1" applyBorder="1" applyAlignment="1">
      <alignment horizontal="center" vertical="center" wrapText="1"/>
    </xf>
    <xf numFmtId="166" fontId="26" fillId="4" borderId="2" xfId="17" applyFont="1" applyFill="1" applyBorder="1" applyAlignment="1">
      <alignment horizontal="center" vertical="center" wrapText="1"/>
    </xf>
    <xf numFmtId="0" fontId="45" fillId="11" borderId="2" xfId="51" applyFont="1" applyFill="1" applyBorder="1" applyAlignment="1">
      <alignment vertical="center"/>
    </xf>
    <xf numFmtId="164" fontId="50" fillId="11" borderId="2" xfId="50" applyFont="1" applyFill="1" applyBorder="1" applyAlignment="1">
      <alignment vertical="center"/>
    </xf>
    <xf numFmtId="43" fontId="14" fillId="0" borderId="2" xfId="48" applyFont="1" applyBorder="1" applyAlignment="1">
      <alignment vertical="center" wrapText="1"/>
    </xf>
    <xf numFmtId="43" fontId="14" fillId="0" borderId="2" xfId="17" applyNumberFormat="1" applyFont="1" applyBorder="1" applyAlignment="1">
      <alignment vertical="center" wrapText="1"/>
    </xf>
    <xf numFmtId="166" fontId="26" fillId="2" borderId="2" xfId="17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9" fontId="26" fillId="2" borderId="14" xfId="0" applyNumberFormat="1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9" fontId="68" fillId="2" borderId="2" xfId="44" applyFont="1" applyFill="1" applyBorder="1" applyAlignment="1">
      <alignment horizontal="center" vertical="center" wrapText="1"/>
    </xf>
    <xf numFmtId="179" fontId="34" fillId="2" borderId="2" xfId="50" applyNumberFormat="1" applyFont="1" applyFill="1" applyBorder="1" applyAlignment="1">
      <alignment horizontal="center" vertical="center"/>
    </xf>
    <xf numFmtId="164" fontId="35" fillId="8" borderId="9" xfId="50" applyFont="1" applyFill="1" applyBorder="1" applyAlignment="1">
      <alignment horizontal="center" vertical="center"/>
    </xf>
    <xf numFmtId="0" fontId="34" fillId="0" borderId="2" xfId="44" applyNumberFormat="1" applyFont="1" applyBorder="1" applyAlignment="1">
      <alignment horizontal="center" vertical="center"/>
    </xf>
    <xf numFmtId="166" fontId="34" fillId="4" borderId="9" xfId="17" applyFont="1" applyFill="1" applyBorder="1" applyAlignment="1">
      <alignment horizontal="center" vertical="center"/>
    </xf>
    <xf numFmtId="166" fontId="13" fillId="0" borderId="9" xfId="17" applyFont="1" applyBorder="1" applyAlignment="1">
      <alignment horizontal="center" vertical="center" wrapText="1"/>
    </xf>
    <xf numFmtId="166" fontId="13" fillId="0" borderId="12" xfId="17" applyFont="1" applyBorder="1" applyAlignment="1">
      <alignment horizontal="center" vertical="center" wrapText="1"/>
    </xf>
    <xf numFmtId="166" fontId="13" fillId="0" borderId="14" xfId="17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57" fillId="0" borderId="0" xfId="43" applyFont="1" applyAlignment="1">
      <alignment horizontal="center" vertical="center" wrapText="1"/>
    </xf>
    <xf numFmtId="0" fontId="20" fillId="0" borderId="17" xfId="43" applyFont="1" applyBorder="1" applyAlignment="1">
      <alignment horizontal="left" vertical="center" wrapText="1"/>
    </xf>
    <xf numFmtId="0" fontId="20" fillId="0" borderId="0" xfId="43" applyFont="1" applyAlignment="1">
      <alignment horizontal="left" vertical="center" wrapText="1"/>
    </xf>
    <xf numFmtId="0" fontId="20" fillId="0" borderId="24" xfId="43" applyFont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center" wrapText="1"/>
    </xf>
    <xf numFmtId="166" fontId="14" fillId="0" borderId="2" xfId="17" applyFont="1" applyBorder="1" applyAlignment="1">
      <alignment horizontal="center" vertical="center" wrapText="1"/>
    </xf>
    <xf numFmtId="166" fontId="0" fillId="6" borderId="2" xfId="17" applyFont="1" applyFill="1" applyBorder="1" applyAlignment="1">
      <alignment horizontal="center" vertical="center" wrapText="1"/>
    </xf>
    <xf numFmtId="166" fontId="14" fillId="6" borderId="2" xfId="17" applyFont="1" applyFill="1" applyBorder="1" applyAlignment="1">
      <alignment horizontal="center" vertical="center" wrapText="1"/>
    </xf>
    <xf numFmtId="177" fontId="13" fillId="0" borderId="9" xfId="0" applyNumberFormat="1" applyFont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62" fillId="0" borderId="29" xfId="0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 vertical="center" wrapText="1"/>
    </xf>
    <xf numFmtId="0" fontId="62" fillId="0" borderId="30" xfId="0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4" fillId="9" borderId="14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left" vertical="center" wrapText="1"/>
    </xf>
    <xf numFmtId="0" fontId="14" fillId="7" borderId="12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>
      <alignment horizontal="left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0" fillId="0" borderId="0" xfId="43" applyFont="1" applyAlignment="1">
      <alignment horizontal="center" vertical="center" wrapText="1"/>
    </xf>
    <xf numFmtId="0" fontId="21" fillId="0" borderId="23" xfId="43" applyFont="1" applyBorder="1" applyAlignment="1">
      <alignment horizontal="center" vertical="center" wrapText="1"/>
    </xf>
    <xf numFmtId="166" fontId="14" fillId="0" borderId="1" xfId="17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3" fontId="14" fillId="0" borderId="12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68" fillId="2" borderId="16" xfId="0" applyFont="1" applyFill="1" applyBorder="1" applyAlignment="1">
      <alignment horizontal="center" vertical="center" wrapText="1"/>
    </xf>
    <xf numFmtId="0" fontId="68" fillId="2" borderId="19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68" fillId="2" borderId="24" xfId="0" applyFont="1" applyFill="1" applyBorder="1" applyAlignment="1">
      <alignment horizontal="center" vertical="center" wrapText="1"/>
    </xf>
    <xf numFmtId="0" fontId="68" fillId="2" borderId="10" xfId="0" applyFont="1" applyFill="1" applyBorder="1" applyAlignment="1">
      <alignment horizontal="center" vertical="center" wrapText="1"/>
    </xf>
    <xf numFmtId="0" fontId="68" fillId="2" borderId="20" xfId="0" applyFont="1" applyFill="1" applyBorder="1" applyAlignment="1">
      <alignment horizontal="center" vertical="center" wrapText="1"/>
    </xf>
    <xf numFmtId="0" fontId="68" fillId="2" borderId="9" xfId="0" applyFont="1" applyFill="1" applyBorder="1" applyAlignment="1">
      <alignment horizontal="center" vertical="center" wrapText="1"/>
    </xf>
    <xf numFmtId="0" fontId="68" fillId="2" borderId="14" xfId="0" applyFont="1" applyFill="1" applyBorder="1" applyAlignment="1">
      <alignment horizontal="center" vertical="center" wrapText="1"/>
    </xf>
    <xf numFmtId="9" fontId="68" fillId="2" borderId="9" xfId="0" applyNumberFormat="1" applyFont="1" applyFill="1" applyBorder="1" applyAlignment="1">
      <alignment horizontal="center" vertical="center" wrapText="1"/>
    </xf>
    <xf numFmtId="9" fontId="68" fillId="2" borderId="14" xfId="0" applyNumberFormat="1" applyFont="1" applyFill="1" applyBorder="1" applyAlignment="1">
      <alignment horizontal="center" vertical="center" wrapText="1"/>
    </xf>
    <xf numFmtId="166" fontId="68" fillId="2" borderId="9" xfId="17" applyFont="1" applyFill="1" applyBorder="1" applyAlignment="1">
      <alignment horizontal="center" vertical="center" wrapText="1"/>
    </xf>
    <xf numFmtId="166" fontId="68" fillId="2" borderId="14" xfId="17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right" vertical="center" wrapText="1"/>
    </xf>
    <xf numFmtId="0" fontId="40" fillId="2" borderId="2" xfId="52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right" vertical="center"/>
    </xf>
    <xf numFmtId="0" fontId="29" fillId="0" borderId="2" xfId="0" applyFont="1" applyBorder="1" applyAlignment="1">
      <alignment horizontal="center" vertical="top"/>
    </xf>
    <xf numFmtId="9" fontId="68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2" borderId="7" xfId="0" applyFont="1" applyFill="1" applyBorder="1" applyAlignment="1">
      <alignment horizontal="left" vertical="center" wrapText="1"/>
    </xf>
    <xf numFmtId="166" fontId="68" fillId="2" borderId="2" xfId="17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64" fillId="9" borderId="2" xfId="0" applyFont="1" applyFill="1" applyBorder="1" applyAlignment="1">
      <alignment horizontal="center" vertical="center"/>
    </xf>
    <xf numFmtId="49" fontId="64" fillId="9" borderId="9" xfId="0" applyNumberFormat="1" applyFont="1" applyFill="1" applyBorder="1" applyAlignment="1">
      <alignment horizontal="center" vertical="center" wrapText="1"/>
    </xf>
    <xf numFmtId="49" fontId="64" fillId="9" borderId="12" xfId="0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8" fillId="7" borderId="9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9" fontId="68" fillId="2" borderId="12" xfId="0" applyNumberFormat="1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68" fillId="2" borderId="6" xfId="0" applyFont="1" applyFill="1" applyBorder="1" applyAlignment="1">
      <alignment horizontal="center" vertical="center" wrapText="1"/>
    </xf>
    <xf numFmtId="0" fontId="68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6" fillId="7" borderId="4" xfId="51" applyFont="1" applyFill="1" applyBorder="1" applyAlignment="1">
      <alignment horizontal="center"/>
    </xf>
    <xf numFmtId="0" fontId="46" fillId="7" borderId="0" xfId="51" applyFont="1" applyFill="1" applyAlignment="1">
      <alignment horizontal="center"/>
    </xf>
    <xf numFmtId="0" fontId="53" fillId="7" borderId="2" xfId="51" applyFont="1" applyFill="1" applyBorder="1" applyAlignment="1">
      <alignment horizontal="center" vertical="center"/>
    </xf>
    <xf numFmtId="49" fontId="65" fillId="10" borderId="16" xfId="0" applyNumberFormat="1" applyFont="1" applyFill="1" applyBorder="1" applyAlignment="1">
      <alignment horizontal="center" vertical="center" wrapText="1"/>
    </xf>
    <xf numFmtId="49" fontId="65" fillId="10" borderId="23" xfId="0" applyNumberFormat="1" applyFont="1" applyFill="1" applyBorder="1" applyAlignment="1">
      <alignment horizontal="center" vertical="center" wrapText="1"/>
    </xf>
    <xf numFmtId="0" fontId="30" fillId="10" borderId="34" xfId="0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0" fontId="51" fillId="2" borderId="6" xfId="51" applyFont="1" applyFill="1" applyBorder="1" applyAlignment="1">
      <alignment horizontal="center" vertical="center" wrapText="1"/>
    </xf>
    <xf numFmtId="0" fontId="51" fillId="2" borderId="2" xfId="51" applyFont="1" applyFill="1" applyBorder="1" applyAlignment="1">
      <alignment horizontal="center" vertical="center" wrapText="1"/>
    </xf>
    <xf numFmtId="0" fontId="45" fillId="2" borderId="35" xfId="51" applyFont="1" applyFill="1" applyBorder="1" applyAlignment="1">
      <alignment horizontal="center" vertical="center"/>
    </xf>
    <xf numFmtId="0" fontId="45" fillId="2" borderId="8" xfId="51" applyFont="1" applyFill="1" applyBorder="1" applyAlignment="1">
      <alignment horizontal="center" vertical="center"/>
    </xf>
    <xf numFmtId="0" fontId="45" fillId="2" borderId="4" xfId="51" applyFont="1" applyFill="1" applyBorder="1" applyAlignment="1">
      <alignment horizontal="center" vertical="center"/>
    </xf>
    <xf numFmtId="0" fontId="45" fillId="2" borderId="0" xfId="51" applyFont="1" applyFill="1" applyAlignment="1">
      <alignment horizontal="center" vertical="center"/>
    </xf>
    <xf numFmtId="0" fontId="52" fillId="2" borderId="0" xfId="51" applyFont="1" applyFill="1" applyAlignment="1">
      <alignment horizontal="left" vertical="center"/>
    </xf>
    <xf numFmtId="0" fontId="58" fillId="2" borderId="0" xfId="51" applyFont="1" applyFill="1" applyAlignment="1">
      <alignment horizontal="center" vertical="center"/>
    </xf>
    <xf numFmtId="0" fontId="48" fillId="7" borderId="2" xfId="51" applyFont="1" applyFill="1" applyBorder="1" applyAlignment="1">
      <alignment horizontal="center" vertical="center"/>
    </xf>
    <xf numFmtId="0" fontId="47" fillId="7" borderId="6" xfId="51" applyFont="1" applyFill="1" applyBorder="1" applyAlignment="1">
      <alignment horizontal="center" vertical="center"/>
    </xf>
    <xf numFmtId="0" fontId="53" fillId="7" borderId="9" xfId="51" applyFont="1" applyFill="1" applyBorder="1" applyAlignment="1">
      <alignment horizontal="center" vertical="center"/>
    </xf>
    <xf numFmtId="0" fontId="53" fillId="7" borderId="12" xfId="51" applyFont="1" applyFill="1" applyBorder="1" applyAlignment="1">
      <alignment horizontal="center" vertical="center"/>
    </xf>
  </cellXfs>
  <cellStyles count="71">
    <cellStyle name="Comma0" xfId="1" xr:uid="{00000000-0005-0000-0000-000000000000}"/>
    <cellStyle name="CUADRO1" xfId="2" xr:uid="{00000000-0005-0000-0000-000001000000}"/>
    <cellStyle name="CUADRO1 2" xfId="3" xr:uid="{00000000-0005-0000-0000-000002000000}"/>
    <cellStyle name="Currency0" xfId="4" xr:uid="{00000000-0005-0000-0000-000003000000}"/>
    <cellStyle name="Date" xfId="5" xr:uid="{00000000-0005-0000-0000-000004000000}"/>
    <cellStyle name="Estilo 1" xfId="6" xr:uid="{00000000-0005-0000-0000-000005000000}"/>
    <cellStyle name="Euro" xfId="7" xr:uid="{00000000-0005-0000-0000-000006000000}"/>
    <cellStyle name="Euro 2" xfId="8" xr:uid="{00000000-0005-0000-0000-000007000000}"/>
    <cellStyle name="Fixed" xfId="9" xr:uid="{00000000-0005-0000-0000-000008000000}"/>
    <cellStyle name="Heading 1" xfId="10" xr:uid="{00000000-0005-0000-0000-000009000000}"/>
    <cellStyle name="Heading 2" xfId="11" xr:uid="{00000000-0005-0000-0000-00000A000000}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Millares" xfId="48" builtinId="3"/>
    <cellStyle name="Millares 2" xfId="12" xr:uid="{00000000-0005-0000-0000-00001E000000}"/>
    <cellStyle name="Millares 2 2" xfId="13" xr:uid="{00000000-0005-0000-0000-00001F000000}"/>
    <cellStyle name="Millares 3" xfId="14" xr:uid="{00000000-0005-0000-0000-000020000000}"/>
    <cellStyle name="Millares 4" xfId="15" xr:uid="{00000000-0005-0000-0000-000021000000}"/>
    <cellStyle name="Millares 5" xfId="16" xr:uid="{00000000-0005-0000-0000-000022000000}"/>
    <cellStyle name="Moneda" xfId="17" builtinId="4"/>
    <cellStyle name="Moneda [0]" xfId="50" builtinId="7"/>
    <cellStyle name="Moneda 2" xfId="18" xr:uid="{00000000-0005-0000-0000-000025000000}"/>
    <cellStyle name="Moneda 2 2" xfId="19" xr:uid="{00000000-0005-0000-0000-000026000000}"/>
    <cellStyle name="Moneda 2 3" xfId="20" xr:uid="{00000000-0005-0000-0000-000027000000}"/>
    <cellStyle name="Moneda 2_ANALISIS AIU 2009" xfId="21" xr:uid="{00000000-0005-0000-0000-000028000000}"/>
    <cellStyle name="Moneda 3" xfId="22" xr:uid="{00000000-0005-0000-0000-000029000000}"/>
    <cellStyle name="Moneda 3 2" xfId="23" xr:uid="{00000000-0005-0000-0000-00002A000000}"/>
    <cellStyle name="Moneda 3 3" xfId="24" xr:uid="{00000000-0005-0000-0000-00002B000000}"/>
    <cellStyle name="Moneda 3_ANALISIS AIU 2009" xfId="25" xr:uid="{00000000-0005-0000-0000-00002C000000}"/>
    <cellStyle name="Moneda 4" xfId="26" xr:uid="{00000000-0005-0000-0000-00002D000000}"/>
    <cellStyle name="Moneda 5" xfId="27" xr:uid="{00000000-0005-0000-0000-00002E000000}"/>
    <cellStyle name="Moneda 5 2" xfId="28" xr:uid="{00000000-0005-0000-0000-00002F000000}"/>
    <cellStyle name="Moneda 6" xfId="29" xr:uid="{00000000-0005-0000-0000-000030000000}"/>
    <cellStyle name="Moneda 7" xfId="30" xr:uid="{00000000-0005-0000-0000-000031000000}"/>
    <cellStyle name="Moneda 8" xfId="31" xr:uid="{00000000-0005-0000-0000-000032000000}"/>
    <cellStyle name="Moneda 9" xfId="32" xr:uid="{00000000-0005-0000-0000-000033000000}"/>
    <cellStyle name="No-definido" xfId="33" xr:uid="{00000000-0005-0000-0000-000034000000}"/>
    <cellStyle name="Normal" xfId="0" builtinId="0"/>
    <cellStyle name="Normal 12" xfId="52" xr:uid="{00000000-0005-0000-0000-000036000000}"/>
    <cellStyle name="Normal 2" xfId="34" xr:uid="{00000000-0005-0000-0000-000037000000}"/>
    <cellStyle name="Normal 2 2" xfId="35" xr:uid="{00000000-0005-0000-0000-000038000000}"/>
    <cellStyle name="Normal 2 2 2" xfId="36" xr:uid="{00000000-0005-0000-0000-000039000000}"/>
    <cellStyle name="Normal 2 3" xfId="37" xr:uid="{00000000-0005-0000-0000-00003A000000}"/>
    <cellStyle name="Normal 3" xfId="38" xr:uid="{00000000-0005-0000-0000-00003B000000}"/>
    <cellStyle name="Normal 3 2" xfId="39" xr:uid="{00000000-0005-0000-0000-00003C000000}"/>
    <cellStyle name="Normal 4" xfId="40" xr:uid="{00000000-0005-0000-0000-00003D000000}"/>
    <cellStyle name="Normal 4 2" xfId="41" xr:uid="{00000000-0005-0000-0000-00003E000000}"/>
    <cellStyle name="Normal 5" xfId="42" xr:uid="{00000000-0005-0000-0000-00003F000000}"/>
    <cellStyle name="Normal 8" xfId="49" xr:uid="{00000000-0005-0000-0000-000040000000}"/>
    <cellStyle name="Normal_ESTABLECIMIENTO Y MANTENIMIENTO" xfId="51" xr:uid="{00000000-0005-0000-0000-000041000000}"/>
    <cellStyle name="Normal_Presup consultoria la Mesa PZA" xfId="43" xr:uid="{00000000-0005-0000-0000-000042000000}"/>
    <cellStyle name="Porcentaje" xfId="44" builtinId="5"/>
    <cellStyle name="Porcentaje 2" xfId="45" xr:uid="{00000000-0005-0000-0000-000044000000}"/>
    <cellStyle name="Porcentual 2" xfId="46" xr:uid="{00000000-0005-0000-0000-000045000000}"/>
    <cellStyle name="Porcentual 3" xfId="47" xr:uid="{00000000-0005-0000-0000-00004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231198</xdr:colOff>
      <xdr:row>0</xdr:row>
      <xdr:rowOff>200025</xdr:rowOff>
    </xdr:from>
    <xdr:to>
      <xdr:col>1</xdr:col>
      <xdr:colOff>470684</xdr:colOff>
      <xdr:row>4</xdr:row>
      <xdr:rowOff>226219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198" y="200025"/>
          <a:ext cx="1366405" cy="125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249781</xdr:colOff>
      <xdr:row>0</xdr:row>
      <xdr:rowOff>109904</xdr:rowOff>
    </xdr:from>
    <xdr:to>
      <xdr:col>10</xdr:col>
      <xdr:colOff>1484256</xdr:colOff>
      <xdr:row>4</xdr:row>
      <xdr:rowOff>204215</xdr:rowOff>
    </xdr:to>
    <xdr:pic>
      <xdr:nvPicPr>
        <xdr:cNvPr id="5" name="Imagen 1" descr="WhatsApp Image 2020-01-07 a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1372" y="109904"/>
          <a:ext cx="1234475" cy="1321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1295400</xdr:colOff>
      <xdr:row>10</xdr:row>
      <xdr:rowOff>125843</xdr:rowOff>
    </xdr:from>
    <xdr:to>
      <xdr:col>2</xdr:col>
      <xdr:colOff>1648691</xdr:colOff>
      <xdr:row>13</xdr:row>
      <xdr:rowOff>190500</xdr:rowOff>
    </xdr:to>
    <xdr:sp macro="" textlink="">
      <xdr:nvSpPr>
        <xdr:cNvPr id="11" name="Flecha abajo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810000" y="4754993"/>
          <a:ext cx="353291" cy="3322207"/>
        </a:xfrm>
        <a:prstGeom prst="down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1013439</xdr:colOff>
      <xdr:row>8</xdr:row>
      <xdr:rowOff>384841</xdr:rowOff>
    </xdr:from>
    <xdr:to>
      <xdr:col>2</xdr:col>
      <xdr:colOff>1002991</xdr:colOff>
      <xdr:row>9</xdr:row>
      <xdr:rowOff>329424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564103" y="3361404"/>
          <a:ext cx="1954083" cy="405950"/>
        </a:xfrm>
        <a:prstGeom prst="rightArrow">
          <a:avLst>
            <a:gd name="adj1" fmla="val 35767"/>
            <a:gd name="adj2" fmla="val 5000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</xdr:col>
      <xdr:colOff>530686</xdr:colOff>
      <xdr:row>0</xdr:row>
      <xdr:rowOff>89297</xdr:rowOff>
    </xdr:from>
    <xdr:to>
      <xdr:col>1</xdr:col>
      <xdr:colOff>1642902</xdr:colOff>
      <xdr:row>4</xdr:row>
      <xdr:rowOff>238125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1350" y="89297"/>
          <a:ext cx="1112216" cy="1369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0</xdr:colOff>
      <xdr:row>0</xdr:row>
      <xdr:rowOff>107540</xdr:rowOff>
    </xdr:from>
    <xdr:to>
      <xdr:col>25</xdr:col>
      <xdr:colOff>553065</xdr:colOff>
      <xdr:row>4</xdr:row>
      <xdr:rowOff>245612</xdr:rowOff>
    </xdr:to>
    <xdr:pic>
      <xdr:nvPicPr>
        <xdr:cNvPr id="6" name="Imagen 1" descr="WhatsApp Image 2020-01-07 a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21682" y="107540"/>
          <a:ext cx="2042428" cy="1350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0</xdr:row>
      <xdr:rowOff>107540</xdr:rowOff>
    </xdr:from>
    <xdr:to>
      <xdr:col>24</xdr:col>
      <xdr:colOff>553065</xdr:colOff>
      <xdr:row>4</xdr:row>
      <xdr:rowOff>245612</xdr:rowOff>
    </xdr:to>
    <xdr:pic>
      <xdr:nvPicPr>
        <xdr:cNvPr id="7" name="Imagen 1" descr="WhatsApp Image 2020-01-07 at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4700" y="107540"/>
          <a:ext cx="553065" cy="139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132998</xdr:rowOff>
    </xdr:from>
    <xdr:to>
      <xdr:col>2</xdr:col>
      <xdr:colOff>707448</xdr:colOff>
      <xdr:row>4</xdr:row>
      <xdr:rowOff>238125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81175" y="132998"/>
          <a:ext cx="1221798" cy="1324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4555081</xdr:colOff>
      <xdr:row>0</xdr:row>
      <xdr:rowOff>81329</xdr:rowOff>
    </xdr:from>
    <xdr:to>
      <xdr:col>4</xdr:col>
      <xdr:colOff>5715000</xdr:colOff>
      <xdr:row>4</xdr:row>
      <xdr:rowOff>175640</xdr:rowOff>
    </xdr:to>
    <xdr:pic>
      <xdr:nvPicPr>
        <xdr:cNvPr id="5" name="Imagen 1" descr="WhatsApp Image 2020-01-07 at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81" y="81329"/>
          <a:ext cx="1159919" cy="1313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181283</xdr:colOff>
      <xdr:row>0</xdr:row>
      <xdr:rowOff>105271</xdr:rowOff>
    </xdr:from>
    <xdr:to>
      <xdr:col>1</xdr:col>
      <xdr:colOff>1009853</xdr:colOff>
      <xdr:row>4</xdr:row>
      <xdr:rowOff>260350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1283" y="105271"/>
          <a:ext cx="1177820" cy="1377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444500</xdr:colOff>
      <xdr:row>0</xdr:row>
      <xdr:rowOff>95250</xdr:rowOff>
    </xdr:from>
    <xdr:to>
      <xdr:col>13</xdr:col>
      <xdr:colOff>0</xdr:colOff>
      <xdr:row>4</xdr:row>
      <xdr:rowOff>178222</xdr:rowOff>
    </xdr:to>
    <xdr:pic>
      <xdr:nvPicPr>
        <xdr:cNvPr id="4" name="Imagen 1" descr="WhatsApp Image 2020-01-07 at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95250"/>
          <a:ext cx="1234475" cy="1305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la4\2001-%20proyec\edgarc\contratos\NorOriental\Cantobraimp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%201/Downloads/GANDU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ingca2\c\Documents%20and%20Settings\EGRM\Kevin\2005\Metodolo\USUARIO\qwe\I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%201/Downloads/UNITARIOS%20GENERA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%201/Downloads/SO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1-02-8500-1P-N-2000FM=2.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IA-2\Mis%20documentos\SERVIPROYING\LICITACIONES\HTZ\internado\DASS\Costos%20alc%20acu%20mix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/Desktop/Estudio%20de%20MErcado%202013/ARCHIVO/ALCALDIA%202009/DOCUME~1/GOBERN~1/CONFIG~1/Temp/Directorio%20temporal%201%20para%20FICHA%20%20VIAS%20TERCIARIAS%20FAEP%204000.zip/FICHA%20%20VIAS%20TERCIARIAS%20FAEP%204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lder/AppData/Local/Temp/Rar$DI13.856/PPTO%20%20interventoria%20laborato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ermeabOTRO"/>
      <sheetName val="PESOS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sa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-Indice"/>
      <sheetName val="ID-01"/>
      <sheetName val="ID-02"/>
      <sheetName val="ID-03"/>
      <sheetName val="ID-04"/>
      <sheetName val="ID-05"/>
      <sheetName val="ID-06"/>
      <sheetName val="ID-07"/>
      <sheetName val="ID-08"/>
      <sheetName val="ID-09"/>
      <sheetName val="ID-10"/>
      <sheetName val="ID-11"/>
      <sheetName val="ID-12"/>
      <sheetName val="ID-13"/>
      <sheetName val="Indicadores de Producto"/>
      <sheetName val="Indicadores de Impacto"/>
      <sheetName val="Indicadores Gestión"/>
      <sheetName val="Programa Presupuestal"/>
      <sheetName val="Objetivos de Política"/>
      <sheetName val="Descentralizadas"/>
      <sheetName val="Subprograma"/>
      <sheetName val="Control"/>
      <sheetName val="Listado"/>
      <sheetName val="PESOS"/>
      <sheetName val="TARIFAS"/>
      <sheetName val="IDEN"/>
      <sheetName val="ANEX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038">
          <cell r="F1038" t="str">
            <v>Yopal</v>
          </cell>
        </row>
        <row r="1039">
          <cell r="F1039" t="str">
            <v>Aguazul</v>
          </cell>
        </row>
        <row r="1040">
          <cell r="F1040" t="str">
            <v>Chameza</v>
          </cell>
        </row>
        <row r="1041">
          <cell r="F1041" t="str">
            <v>Hato Corozal</v>
          </cell>
        </row>
        <row r="1042">
          <cell r="F1042" t="str">
            <v>La Salina</v>
          </cell>
        </row>
        <row r="1043">
          <cell r="F1043" t="str">
            <v>Maní</v>
          </cell>
        </row>
        <row r="1044">
          <cell r="F1044" t="str">
            <v>Monterrey</v>
          </cell>
        </row>
        <row r="1045">
          <cell r="F1045" t="str">
            <v>Nunchía</v>
          </cell>
        </row>
        <row r="1046">
          <cell r="F1046" t="str">
            <v>Orocué</v>
          </cell>
        </row>
        <row r="1047">
          <cell r="F1047" t="str">
            <v>Paz De Ariporo</v>
          </cell>
        </row>
        <row r="1048">
          <cell r="F1048" t="str">
            <v>Pore</v>
          </cell>
        </row>
        <row r="1049">
          <cell r="F1049" t="str">
            <v>Recetor</v>
          </cell>
        </row>
        <row r="1050">
          <cell r="F1050" t="str">
            <v>Sabanalarga</v>
          </cell>
        </row>
        <row r="1051">
          <cell r="F1051" t="str">
            <v>Sácama</v>
          </cell>
        </row>
        <row r="1052">
          <cell r="F1052" t="str">
            <v>San Luis De Palenque</v>
          </cell>
        </row>
        <row r="1053">
          <cell r="F1053" t="str">
            <v>Támara</v>
          </cell>
        </row>
        <row r="1054">
          <cell r="F1054" t="str">
            <v>Tauramena</v>
          </cell>
        </row>
        <row r="1055">
          <cell r="F1055" t="str">
            <v>Trinidad</v>
          </cell>
        </row>
        <row r="1056">
          <cell r="F1056" t="str">
            <v>Villanueva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idad M3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TARIFA99"/>
      <sheetName val="Sheet1"/>
      <sheetName val="Sheet2"/>
      <sheetName val="Sheetens"/>
      <sheetName val="PRECIOS BÁSICOS"/>
    </sheetNames>
    <sheetDataSet>
      <sheetData sheetId="0"/>
      <sheetData sheetId="1"/>
      <sheetData sheetId="2" refreshError="1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e mula"/>
      <sheetName val="sacos suelo"/>
      <sheetName val="PIEDRA PEG 1"/>
      <sheetName val="LOC REPL 1"/>
      <sheetName val="SARDINEL"/>
      <sheetName val="PIEDRA RAJON"/>
      <sheetName val="CICLOPEO"/>
      <sheetName val="ACERO 37 CIMEN"/>
      <sheetName val="ZAPATAS 3000"/>
      <sheetName val="VIGA AMARRE "/>
      <sheetName val="RELLE COMP"/>
      <sheetName val="ACERO 60 PEDES"/>
      <sheetName val="ACERO 37 PEDEST"/>
      <sheetName val="CON 3000 PEDEST"/>
      <sheetName val="CERCHA met"/>
      <sheetName val="colum met"/>
      <sheetName val="viga met"/>
      <sheetName val="correa met"/>
      <sheetName val="contraviento"/>
      <sheetName val="perno"/>
      <sheetName val="templete"/>
      <sheetName val="teja cindu"/>
      <sheetName val="canal laton"/>
      <sheetName val="camara 274"/>
      <sheetName val="4 CABLES"/>
      <sheetName val="BAJANTE 1&quot;"/>
      <sheetName val="MEDIDOR TRIF"/>
      <sheetName val="PTO ELEC"/>
      <sheetName val="ACOM SUBT"/>
      <sheetName val="TABLERO TRIF"/>
      <sheetName val="CORTA CIR B"/>
      <sheetName val="CORTA CIR M"/>
      <sheetName val="ACOM AER"/>
      <sheetName val="ACOM AER 4"/>
      <sheetName val="ACOM AER 6"/>
      <sheetName val="CABLE CU"/>
      <sheetName val="REFLECTOR"/>
      <sheetName val="BORDILLO LADRI"/>
      <sheetName val="DIL ADO GRES .24"/>
      <sheetName val="CUBIERTA METAL"/>
      <sheetName val="teja termo"/>
      <sheetName val="LOC REPL (2)"/>
      <sheetName val="DESC MAQ RETI (2)"/>
      <sheetName val="REC COMUM (2)"/>
      <sheetName val="PLACA BASE CONCR (2)"/>
      <sheetName val="columneta"/>
      <sheetName val="ACERO 37 (2)"/>
      <sheetName val="ACERO 60 (2)"/>
      <sheetName val="MAMP MAGUNCIA"/>
      <sheetName val="PINTURA"/>
      <sheetName val="DEMOL PLAC"/>
      <sheetName val="PLACA BASE CONCR (3)"/>
      <sheetName val="BORDILLO LADRI (2)"/>
      <sheetName val="DIL ADO GRES .12"/>
      <sheetName val="empradizacion"/>
      <sheetName val="PALMA MA"/>
      <sheetName val="banca"/>
      <sheetName val="caneca"/>
      <sheetName val="Parque3"/>
      <sheetName val="POMARROSO"/>
      <sheetName val="con 2500"/>
      <sheetName val="GROUTING"/>
      <sheetName val="PIEDRA 1l2 ZONGA"/>
      <sheetName val="ladrillo estruct"/>
      <sheetName val="pin lam llena"/>
      <sheetName val="marcos"/>
      <sheetName val="tteton"/>
      <sheetName val="tte m3"/>
      <sheetName val="Equipos"/>
      <sheetName val="ANTICIPO 1"/>
      <sheetName val="CRONOGRAMA"/>
      <sheetName val="media"/>
      <sheetName val="Presupuesto Total"/>
      <sheetName val="1.1"/>
      <sheetName val="2.1"/>
      <sheetName val="2.2"/>
      <sheetName val="3.1"/>
      <sheetName val="3.2"/>
      <sheetName val="3.3"/>
      <sheetName val="3.4"/>
      <sheetName val="4.1"/>
      <sheetName val="4.2"/>
      <sheetName val="5.1"/>
      <sheetName val="6.1"/>
      <sheetName val="1.10"/>
      <sheetName val="1.2"/>
      <sheetName val="2.10"/>
      <sheetName val="2.20"/>
      <sheetName val="2.3"/>
      <sheetName val="2.4"/>
      <sheetName val="2.5"/>
      <sheetName val="2.6"/>
      <sheetName val="2.7"/>
      <sheetName val="2.8"/>
      <sheetName val="3.10"/>
      <sheetName val="3.20"/>
      <sheetName val="4.10"/>
      <sheetName val="con 1.2.3"/>
      <sheetName val="muro lad"/>
      <sheetName val="ACERO 37"/>
      <sheetName val="ANÁLISIS PRESTACIONALsan"/>
      <sheetName val="AIUsan"/>
      <sheetName val="PLAN ANTICIPO "/>
      <sheetName val="PLACA "/>
      <sheetName val="tapa 5cm"/>
      <sheetName val="ACERO 60"/>
      <sheetName val="malla q2"/>
      <sheetName val="con POBRE1.3.3 "/>
      <sheetName val="PAÑETE"/>
      <sheetName val="mortero"/>
      <sheetName val="materiales"/>
      <sheetName val="personal"/>
      <sheetName val="concreto 300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1">
          <cell r="A1" t="str">
            <v>CONTRATAR LA CONSTRUCCIÓN DE REDES DE ALCANTARILLADO SANITARIO Y ACUEDUCTO PARA EL SECTOR DEL INTERNADO MIXTO DEL MUNICIPIO DE HATO COROZAL CASANARE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KM"/>
      <sheetName val="CRON"/>
      <sheetName val="FLUJO"/>
      <sheetName val="PERSONAL"/>
      <sheetName val="RESUMEN"/>
      <sheetName val="MAQ (2)"/>
      <sheetName val="MAT"/>
      <sheetName val="ALQ MAQ"/>
      <sheetName val="TUBOS"/>
      <sheetName val="EBI 1 de 7 "/>
      <sheetName val="EBI 2 de 7"/>
      <sheetName val="EBI 3 de 7"/>
      <sheetName val="EBI 4 de 7"/>
      <sheetName val="EBI 5 de 7"/>
      <sheetName val="EBI 6 de 7"/>
      <sheetName val="EBI 7 DE 7"/>
      <sheetName val="ID-01"/>
      <sheetName val="ID-02"/>
      <sheetName val="ID-03"/>
      <sheetName val="ID-04"/>
      <sheetName val="PE-01-A"/>
      <sheetName val="PE-02"/>
      <sheetName val="PE-03"/>
      <sheetName val="PE-04"/>
      <sheetName val="PE-05"/>
      <sheetName val="PE-05 (2)"/>
      <sheetName val="PE-06"/>
      <sheetName val="FS-01"/>
      <sheetName val="FF-01"/>
      <sheetName val="FF 4000"/>
      <sheetName val="2"/>
      <sheetName val="FSEG ING Y EGR"/>
      <sheetName val="MAQ"/>
      <sheetName val="FS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8 int"/>
      <sheetName val="C9 int"/>
      <sheetName val="c10"/>
      <sheetName val="c11 int"/>
      <sheetName val="Hoja1"/>
      <sheetName val="Hoja2"/>
      <sheetName val="Hoja3"/>
      <sheetName val="TARIF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CODIGO</v>
          </cell>
          <cell r="B2" t="str">
            <v>EQUIPOS</v>
          </cell>
          <cell r="C2" t="str">
            <v>TIPO</v>
          </cell>
          <cell r="D2" t="str">
            <v>TARIFA/HORA</v>
          </cell>
          <cell r="E2" t="str">
            <v>RENDIMIENTO</v>
          </cell>
        </row>
        <row r="3">
          <cell r="A3">
            <v>1</v>
          </cell>
          <cell r="B3" t="str">
            <v>RETROCARGADOR</v>
          </cell>
          <cell r="C3" t="str">
            <v>JD-510</v>
          </cell>
          <cell r="D3">
            <v>35000</v>
          </cell>
        </row>
        <row r="4">
          <cell r="A4">
            <v>2</v>
          </cell>
          <cell r="B4" t="str">
            <v>MOTONIVELADORA</v>
          </cell>
          <cell r="C4" t="str">
            <v xml:space="preserve">CAT </v>
          </cell>
          <cell r="D4">
            <v>45000</v>
          </cell>
        </row>
        <row r="5">
          <cell r="A5">
            <v>3</v>
          </cell>
          <cell r="B5" t="str">
            <v>VIBROCOMPACTADOR</v>
          </cell>
          <cell r="C5" t="str">
            <v xml:space="preserve">CAT </v>
          </cell>
          <cell r="D5">
            <v>45000</v>
          </cell>
        </row>
        <row r="6">
          <cell r="A6">
            <v>4</v>
          </cell>
          <cell r="B6" t="str">
            <v>RETROEXCAVADORA</v>
          </cell>
          <cell r="C6" t="str">
            <v xml:space="preserve">CAT </v>
          </cell>
          <cell r="D6">
            <v>60000</v>
          </cell>
        </row>
        <row r="7">
          <cell r="A7">
            <v>5</v>
          </cell>
          <cell r="B7" t="str">
            <v>BULLDOZER</v>
          </cell>
          <cell r="C7" t="str">
            <v>D6D</v>
          </cell>
          <cell r="D7">
            <v>45000</v>
          </cell>
        </row>
        <row r="8">
          <cell r="A8">
            <v>6</v>
          </cell>
          <cell r="B8" t="str">
            <v>VOLQUETA</v>
          </cell>
          <cell r="C8" t="str">
            <v>5m3</v>
          </cell>
          <cell r="D8">
            <v>22500</v>
          </cell>
        </row>
        <row r="9">
          <cell r="A9">
            <v>7</v>
          </cell>
          <cell r="B9" t="str">
            <v>MOTOBOMBA</v>
          </cell>
          <cell r="D9">
            <v>4000</v>
          </cell>
        </row>
        <row r="10">
          <cell r="A10">
            <v>8</v>
          </cell>
          <cell r="B10" t="str">
            <v>HERRAMIENTA 1O% M.O</v>
          </cell>
        </row>
        <row r="11">
          <cell r="A11">
            <v>9</v>
          </cell>
          <cell r="B11" t="str">
            <v xml:space="preserve">CARROTANQUE </v>
          </cell>
          <cell r="C11" t="str">
            <v>2500 GL</v>
          </cell>
          <cell r="D11">
            <v>22500</v>
          </cell>
        </row>
        <row r="12">
          <cell r="A12">
            <v>10</v>
          </cell>
          <cell r="B12" t="str">
            <v>FINISHER</v>
          </cell>
          <cell r="C12" t="str">
            <v xml:space="preserve">CAT </v>
          </cell>
          <cell r="D12">
            <v>80000</v>
          </cell>
        </row>
        <row r="13">
          <cell r="A13">
            <v>11</v>
          </cell>
          <cell r="B13" t="str">
            <v>TRITURADORA</v>
          </cell>
          <cell r="C13" t="str">
            <v xml:space="preserve">CAT </v>
          </cell>
          <cell r="D13">
            <v>100000</v>
          </cell>
        </row>
        <row r="14">
          <cell r="A14">
            <v>12</v>
          </cell>
          <cell r="B14" t="str">
            <v>CARGADOR</v>
          </cell>
          <cell r="C14" t="str">
            <v xml:space="preserve">CAT </v>
          </cell>
          <cell r="D14">
            <v>45000</v>
          </cell>
        </row>
        <row r="15">
          <cell r="A15">
            <v>13</v>
          </cell>
          <cell r="B15" t="str">
            <v>COMPACTADOR</v>
          </cell>
          <cell r="C15" t="str">
            <v xml:space="preserve">CAT </v>
          </cell>
          <cell r="D15">
            <v>45000</v>
          </cell>
        </row>
        <row r="16">
          <cell r="A16">
            <v>14</v>
          </cell>
          <cell r="B16" t="str">
            <v>IRRIGADOR</v>
          </cell>
          <cell r="C16" t="str">
            <v>600M2/h</v>
          </cell>
          <cell r="D16">
            <v>45000</v>
          </cell>
        </row>
        <row r="17">
          <cell r="A17">
            <v>15</v>
          </cell>
          <cell r="B17" t="str">
            <v>RANA</v>
          </cell>
          <cell r="C17" t="str">
            <v>5 HP</v>
          </cell>
          <cell r="D17">
            <v>5375</v>
          </cell>
        </row>
        <row r="18">
          <cell r="A18">
            <v>16</v>
          </cell>
          <cell r="B18" t="str">
            <v xml:space="preserve">MEZCLADORA </v>
          </cell>
          <cell r="C18" t="str">
            <v>1.5 Bultos</v>
          </cell>
          <cell r="D18">
            <v>6125</v>
          </cell>
        </row>
        <row r="19">
          <cell r="A19">
            <v>17</v>
          </cell>
          <cell r="B19" t="str">
            <v>MAQUINA DEMARCADORA</v>
          </cell>
          <cell r="C19" t="str">
            <v>CHORRO</v>
          </cell>
          <cell r="D19">
            <v>40000</v>
          </cell>
        </row>
        <row r="21">
          <cell r="A21" t="str">
            <v>CODIGO</v>
          </cell>
          <cell r="B21" t="str">
            <v>MATERIALES</v>
          </cell>
          <cell r="C21" t="str">
            <v>UNIDAD</v>
          </cell>
          <cell r="D21" t="str">
            <v>TARIFA</v>
          </cell>
        </row>
        <row r="22">
          <cell r="A22">
            <v>18</v>
          </cell>
          <cell r="B22" t="str">
            <v>LAMINA GALVANIZADA</v>
          </cell>
          <cell r="C22" t="str">
            <v>M2</v>
          </cell>
          <cell r="D22">
            <v>30000</v>
          </cell>
        </row>
        <row r="23">
          <cell r="A23">
            <v>19</v>
          </cell>
          <cell r="B23" t="str">
            <v>SOPORTES</v>
          </cell>
          <cell r="C23" t="str">
            <v>UNI.</v>
          </cell>
          <cell r="D23">
            <v>120000</v>
          </cell>
        </row>
        <row r="24">
          <cell r="A24">
            <v>20</v>
          </cell>
          <cell r="B24" t="str">
            <v>PINTURA</v>
          </cell>
          <cell r="C24" t="str">
            <v>GALON</v>
          </cell>
          <cell r="D24">
            <v>25000</v>
          </cell>
        </row>
        <row r="25">
          <cell r="A25">
            <v>21</v>
          </cell>
          <cell r="B25" t="str">
            <v>ARTE</v>
          </cell>
          <cell r="C25" t="str">
            <v>GLOBAL</v>
          </cell>
          <cell r="D25">
            <v>350000</v>
          </cell>
        </row>
        <row r="26">
          <cell r="A26">
            <v>22</v>
          </cell>
          <cell r="B26" t="str">
            <v>INSTALACION</v>
          </cell>
          <cell r="C26" t="str">
            <v>GLOBAL</v>
          </cell>
          <cell r="D26">
            <v>250000</v>
          </cell>
        </row>
        <row r="27">
          <cell r="A27">
            <v>23</v>
          </cell>
          <cell r="B27" t="str">
            <v>FABRICACION</v>
          </cell>
          <cell r="C27" t="str">
            <v>GLOBAL</v>
          </cell>
          <cell r="D27">
            <v>250000</v>
          </cell>
        </row>
        <row r="28">
          <cell r="A28">
            <v>24</v>
          </cell>
          <cell r="B28" t="str">
            <v>EQUIPO DE TOPOGRAFIA</v>
          </cell>
          <cell r="C28" t="str">
            <v>KEM</v>
          </cell>
          <cell r="D28">
            <v>7500</v>
          </cell>
        </row>
        <row r="29">
          <cell r="A29">
            <v>25</v>
          </cell>
          <cell r="B29" t="str">
            <v xml:space="preserve">ESTACAS </v>
          </cell>
          <cell r="C29" t="str">
            <v>GLOBAL</v>
          </cell>
          <cell r="D29">
            <v>20000</v>
          </cell>
        </row>
        <row r="30">
          <cell r="A30">
            <v>26</v>
          </cell>
          <cell r="B30" t="str">
            <v>CARTERAS</v>
          </cell>
          <cell r="C30" t="str">
            <v>GLOBAL</v>
          </cell>
          <cell r="D30">
            <v>30000</v>
          </cell>
        </row>
        <row r="31">
          <cell r="A31">
            <v>27</v>
          </cell>
          <cell r="B31" t="str">
            <v>PAPELERIA</v>
          </cell>
          <cell r="C31" t="str">
            <v>GLOBAL</v>
          </cell>
          <cell r="D31">
            <v>10000</v>
          </cell>
        </row>
        <row r="32">
          <cell r="A32">
            <v>28</v>
          </cell>
          <cell r="B32" t="str">
            <v>1 TOPOGRAFO</v>
          </cell>
          <cell r="C32">
            <v>35000</v>
          </cell>
          <cell r="D32">
            <v>92</v>
          </cell>
        </row>
        <row r="33">
          <cell r="A33">
            <v>29</v>
          </cell>
          <cell r="B33" t="str">
            <v>CADENERO</v>
          </cell>
          <cell r="C33">
            <v>15000</v>
          </cell>
          <cell r="D33">
            <v>92</v>
          </cell>
        </row>
        <row r="34">
          <cell r="A34">
            <v>30</v>
          </cell>
          <cell r="B34" t="str">
            <v>PORTAMIRA</v>
          </cell>
          <cell r="C34">
            <v>10000</v>
          </cell>
          <cell r="D34">
            <v>92</v>
          </cell>
        </row>
        <row r="35">
          <cell r="A35">
            <v>31</v>
          </cell>
          <cell r="B35" t="str">
            <v>1 AYUDANTE</v>
          </cell>
          <cell r="C35">
            <v>10000</v>
          </cell>
          <cell r="D35">
            <v>92</v>
          </cell>
        </row>
        <row r="36">
          <cell r="A36">
            <v>32</v>
          </cell>
          <cell r="B36" t="str">
            <v>HOYADORA</v>
          </cell>
          <cell r="C36" t="str">
            <v>GLOBAL</v>
          </cell>
          <cell r="D36">
            <v>10000</v>
          </cell>
        </row>
        <row r="37">
          <cell r="A37">
            <v>33</v>
          </cell>
          <cell r="B37" t="str">
            <v>POSTES EN CONCRETO 1.80 M.</v>
          </cell>
          <cell r="C37" t="str">
            <v>UNI.</v>
          </cell>
          <cell r="D37">
            <v>12000</v>
          </cell>
        </row>
        <row r="38">
          <cell r="A38">
            <v>34</v>
          </cell>
          <cell r="B38" t="str">
            <v>ALAMBRE</v>
          </cell>
          <cell r="C38" t="str">
            <v>ML</v>
          </cell>
          <cell r="D38">
            <v>100</v>
          </cell>
        </row>
        <row r="39">
          <cell r="A39">
            <v>35</v>
          </cell>
          <cell r="B39" t="str">
            <v>AMARRE</v>
          </cell>
          <cell r="C39" t="str">
            <v>GLOBAL</v>
          </cell>
          <cell r="D39">
            <v>20</v>
          </cell>
        </row>
        <row r="40">
          <cell r="A40">
            <v>36</v>
          </cell>
          <cell r="B40" t="str">
            <v>4 AYUDANTES</v>
          </cell>
          <cell r="C40">
            <v>40000</v>
          </cell>
          <cell r="D40">
            <v>92</v>
          </cell>
        </row>
        <row r="41">
          <cell r="A41">
            <v>37</v>
          </cell>
          <cell r="B41" t="str">
            <v>DERECHO DE EXPLOTACION</v>
          </cell>
          <cell r="C41" t="str">
            <v>M3</v>
          </cell>
          <cell r="D41">
            <v>3000</v>
          </cell>
        </row>
        <row r="42">
          <cell r="A42">
            <v>38</v>
          </cell>
          <cell r="B42" t="str">
            <v>MATERIAL DE TER</v>
          </cell>
          <cell r="C42">
            <v>1.25</v>
          </cell>
          <cell r="D42">
            <v>515</v>
          </cell>
        </row>
        <row r="43">
          <cell r="A43">
            <v>39</v>
          </cell>
          <cell r="B43" t="str">
            <v>MATERIAL DE ALUVION</v>
          </cell>
          <cell r="C43" t="str">
            <v>M3</v>
          </cell>
          <cell r="D43">
            <v>7000</v>
          </cell>
        </row>
        <row r="44">
          <cell r="A44">
            <v>40</v>
          </cell>
          <cell r="B44" t="str">
            <v>Desp. POR COMPACTACION25%</v>
          </cell>
          <cell r="D44">
            <v>1750</v>
          </cell>
        </row>
        <row r="45">
          <cell r="A45">
            <v>41</v>
          </cell>
          <cell r="B45" t="str">
            <v>CLASIFICACION DE MATERIAL</v>
          </cell>
          <cell r="C45" t="str">
            <v>M3</v>
          </cell>
          <cell r="D45">
            <v>6000</v>
          </cell>
        </row>
        <row r="46">
          <cell r="A46">
            <v>42</v>
          </cell>
          <cell r="B46" t="str">
            <v>DESPERDICIO 10%</v>
          </cell>
          <cell r="D46">
            <v>2700</v>
          </cell>
        </row>
        <row r="47">
          <cell r="A47">
            <v>43</v>
          </cell>
          <cell r="B47" t="str">
            <v>3 AYUDANTES</v>
          </cell>
          <cell r="C47">
            <v>30000</v>
          </cell>
          <cell r="D47">
            <v>92</v>
          </cell>
        </row>
        <row r="48">
          <cell r="A48">
            <v>44</v>
          </cell>
          <cell r="B48" t="str">
            <v>1 JEFE DE PLANTA</v>
          </cell>
          <cell r="C48">
            <v>25000</v>
          </cell>
          <cell r="D48">
            <v>92</v>
          </cell>
        </row>
        <row r="49">
          <cell r="A49">
            <v>45</v>
          </cell>
          <cell r="B49" t="str">
            <v>1 AUXILIAR</v>
          </cell>
          <cell r="C49">
            <v>20000</v>
          </cell>
          <cell r="D49">
            <v>92</v>
          </cell>
        </row>
        <row r="50">
          <cell r="A50">
            <v>46</v>
          </cell>
          <cell r="B50" t="str">
            <v>TRITURADO</v>
          </cell>
          <cell r="C50" t="str">
            <v>M3</v>
          </cell>
          <cell r="D50">
            <v>26998</v>
          </cell>
        </row>
        <row r="51">
          <cell r="A51">
            <v>47</v>
          </cell>
          <cell r="B51" t="str">
            <v>PLANTA DE ASFALTO</v>
          </cell>
          <cell r="C51" t="str">
            <v>CAT</v>
          </cell>
          <cell r="D51">
            <v>180000</v>
          </cell>
        </row>
        <row r="52">
          <cell r="A52">
            <v>48</v>
          </cell>
          <cell r="B52" t="str">
            <v>MATERIAL BASE</v>
          </cell>
          <cell r="C52" t="str">
            <v>M3</v>
          </cell>
          <cell r="D52">
            <v>26998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49"/>
  <sheetViews>
    <sheetView view="pageBreakPreview" topLeftCell="A28" zoomScale="70" zoomScaleNormal="100" zoomScaleSheetLayoutView="70" workbookViewId="0">
      <selection activeCell="H35" sqref="H35"/>
    </sheetView>
  </sheetViews>
  <sheetFormatPr baseColWidth="10" defaultColWidth="10.85546875" defaultRowHeight="12.75"/>
  <cols>
    <col min="1" max="1" width="17" style="1" customWidth="1"/>
    <col min="2" max="2" width="56.42578125" style="1" customWidth="1"/>
    <col min="3" max="3" width="12.85546875" style="1" customWidth="1"/>
    <col min="4" max="4" width="21.28515625" style="1" customWidth="1"/>
    <col min="5" max="5" width="15.85546875" style="1" customWidth="1"/>
    <col min="6" max="6" width="12.85546875" style="1" customWidth="1"/>
    <col min="7" max="7" width="11.140625" style="1" customWidth="1"/>
    <col min="8" max="8" width="26.85546875" style="1" customWidth="1"/>
    <col min="9" max="9" width="21.7109375" style="1" customWidth="1"/>
    <col min="10" max="10" width="8.85546875" style="1" customWidth="1"/>
    <col min="11" max="11" width="25.140625" style="1" customWidth="1"/>
    <col min="12" max="12" width="26.7109375" style="1" customWidth="1"/>
    <col min="13" max="13" width="12.7109375" style="1" bestFit="1" customWidth="1"/>
    <col min="14" max="16384" width="10.85546875" style="1"/>
  </cols>
  <sheetData>
    <row r="1" spans="1:17" ht="21.75" customHeight="1">
      <c r="A1" s="198" t="s">
        <v>25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</row>
    <row r="2" spans="1:17" ht="24.75" customHeight="1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3"/>
    </row>
    <row r="3" spans="1:17" ht="24.75" customHeight="1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3"/>
    </row>
    <row r="4" spans="1:17" ht="24.75" customHeight="1">
      <c r="A4" s="201"/>
      <c r="B4" s="202"/>
      <c r="C4" s="202"/>
      <c r="D4" s="202"/>
      <c r="E4" s="202"/>
      <c r="F4" s="202"/>
      <c r="G4" s="202"/>
      <c r="H4" s="202"/>
      <c r="I4" s="202"/>
      <c r="J4" s="202"/>
      <c r="K4" s="203"/>
    </row>
    <row r="5" spans="1:17" ht="24.75" customHeight="1" thickBot="1">
      <c r="A5" s="204"/>
      <c r="B5" s="205"/>
      <c r="C5" s="205"/>
      <c r="D5" s="205"/>
      <c r="E5" s="205"/>
      <c r="F5" s="205"/>
      <c r="G5" s="205"/>
      <c r="H5" s="205"/>
      <c r="I5" s="205"/>
      <c r="J5" s="205"/>
      <c r="K5" s="206"/>
    </row>
    <row r="6" spans="1:17" s="9" customFormat="1" ht="81.75" customHeight="1" thickBot="1">
      <c r="A6" s="207" t="s">
        <v>95</v>
      </c>
      <c r="B6" s="208"/>
      <c r="C6" s="208"/>
      <c r="D6" s="208"/>
      <c r="E6" s="208"/>
      <c r="F6" s="208"/>
      <c r="G6" s="208"/>
      <c r="H6" s="208"/>
      <c r="I6" s="208"/>
      <c r="J6" s="208"/>
      <c r="K6" s="209"/>
      <c r="L6" s="9">
        <v>10.25</v>
      </c>
      <c r="M6" s="9">
        <v>100</v>
      </c>
    </row>
    <row r="7" spans="1:17" ht="28.5" customHeight="1">
      <c r="A7" s="100"/>
      <c r="B7" s="3"/>
      <c r="C7" s="3"/>
      <c r="D7" s="3"/>
      <c r="E7" s="155" t="s">
        <v>12</v>
      </c>
      <c r="F7" s="210">
        <v>2.2000000000000002</v>
      </c>
      <c r="G7" s="210"/>
      <c r="H7" s="3"/>
      <c r="I7" s="155" t="s">
        <v>24</v>
      </c>
      <c r="J7" s="156">
        <v>2</v>
      </c>
      <c r="K7" s="157" t="s">
        <v>65</v>
      </c>
      <c r="L7" s="9">
        <v>8</v>
      </c>
      <c r="M7" s="135">
        <f>+L7*M6/L6</f>
        <v>78.048780487804876</v>
      </c>
      <c r="N7" s="9"/>
      <c r="O7" s="9"/>
      <c r="P7" s="9"/>
      <c r="Q7" s="9"/>
    </row>
    <row r="8" spans="1:17" ht="27" customHeight="1">
      <c r="A8" s="211" t="s">
        <v>13</v>
      </c>
      <c r="B8" s="212"/>
      <c r="C8" s="212"/>
      <c r="D8" s="212"/>
      <c r="E8" s="212"/>
      <c r="F8" s="212"/>
      <c r="G8" s="212"/>
      <c r="H8" s="212"/>
      <c r="I8" s="212"/>
      <c r="J8" s="212"/>
      <c r="K8" s="213"/>
      <c r="L8" s="9"/>
      <c r="M8" s="9"/>
      <c r="N8" s="9"/>
      <c r="O8" s="9"/>
      <c r="P8" s="9"/>
      <c r="Q8" s="9"/>
    </row>
    <row r="9" spans="1:17" ht="14.25" customHeight="1">
      <c r="A9" s="4"/>
      <c r="B9" s="4"/>
      <c r="C9" s="4"/>
      <c r="D9" s="4" t="s">
        <v>0</v>
      </c>
      <c r="E9" s="4"/>
      <c r="F9" s="214"/>
      <c r="G9" s="215"/>
      <c r="H9" s="4"/>
      <c r="I9" s="4"/>
      <c r="J9" s="4"/>
      <c r="K9" s="4"/>
      <c r="L9" s="9"/>
      <c r="M9" s="9"/>
      <c r="N9" s="9"/>
      <c r="O9" s="9"/>
      <c r="P9" s="9"/>
      <c r="Q9" s="9"/>
    </row>
    <row r="10" spans="1:17" ht="12.75" customHeight="1">
      <c r="A10" s="216" t="s">
        <v>14</v>
      </c>
      <c r="B10" s="216" t="s">
        <v>15</v>
      </c>
      <c r="C10" s="216" t="s">
        <v>1</v>
      </c>
      <c r="D10" s="216" t="s">
        <v>2</v>
      </c>
      <c r="E10" s="216" t="s">
        <v>17</v>
      </c>
      <c r="F10" s="221" t="s">
        <v>4</v>
      </c>
      <c r="G10" s="222"/>
      <c r="H10" s="216" t="s">
        <v>11</v>
      </c>
      <c r="I10" s="216" t="s">
        <v>5</v>
      </c>
      <c r="J10" s="216" t="s">
        <v>6</v>
      </c>
      <c r="K10" s="216" t="s">
        <v>7</v>
      </c>
      <c r="L10" s="9"/>
      <c r="M10" s="9"/>
      <c r="N10" s="9"/>
      <c r="O10" s="9"/>
      <c r="P10" s="9"/>
      <c r="Q10" s="9"/>
    </row>
    <row r="11" spans="1:17" ht="24.75" customHeight="1">
      <c r="A11" s="217"/>
      <c r="B11" s="217"/>
      <c r="C11" s="217"/>
      <c r="D11" s="217"/>
      <c r="E11" s="217"/>
      <c r="F11" s="223"/>
      <c r="G11" s="224"/>
      <c r="H11" s="217"/>
      <c r="I11" s="217"/>
      <c r="J11" s="217"/>
      <c r="K11" s="217"/>
      <c r="L11" s="9"/>
      <c r="M11" s="9"/>
      <c r="N11" s="9"/>
      <c r="O11" s="9"/>
      <c r="P11" s="9"/>
      <c r="Q11" s="9"/>
    </row>
    <row r="12" spans="1:17" ht="20.25" customHeight="1">
      <c r="A12" s="218" t="s">
        <v>16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0"/>
      <c r="L12" s="9"/>
      <c r="M12" s="9"/>
      <c r="N12" s="9"/>
      <c r="O12" s="9"/>
      <c r="P12" s="9"/>
      <c r="Q12" s="9"/>
    </row>
    <row r="13" spans="1:17" s="2" customFormat="1" ht="76.5" customHeight="1">
      <c r="A13" s="6">
        <v>1</v>
      </c>
      <c r="B13" s="5" t="s">
        <v>93</v>
      </c>
      <c r="C13" s="6">
        <v>1</v>
      </c>
      <c r="D13" s="17">
        <v>7268208</v>
      </c>
      <c r="E13" s="22">
        <f t="shared" ref="E13:E18" si="0">F13*H13*30</f>
        <v>30</v>
      </c>
      <c r="F13" s="196">
        <v>2</v>
      </c>
      <c r="G13" s="197"/>
      <c r="H13" s="8">
        <v>0.5</v>
      </c>
      <c r="I13" s="16">
        <f>SUM(C13*F13*H13*D13)</f>
        <v>7268208</v>
      </c>
      <c r="J13" s="7">
        <f>+F7</f>
        <v>2.2000000000000002</v>
      </c>
      <c r="K13" s="16">
        <f>ROUND(I13*J13,2)</f>
        <v>15990057.6</v>
      </c>
      <c r="L13" s="9"/>
      <c r="M13" s="9"/>
      <c r="N13" s="9"/>
      <c r="O13" s="9"/>
      <c r="P13" s="9"/>
      <c r="Q13" s="9"/>
    </row>
    <row r="14" spans="1:17" s="2" customFormat="1" ht="76.5" customHeight="1">
      <c r="A14" s="6">
        <v>2</v>
      </c>
      <c r="B14" s="5" t="s">
        <v>96</v>
      </c>
      <c r="C14" s="6">
        <v>1</v>
      </c>
      <c r="D14" s="17">
        <v>7268208</v>
      </c>
      <c r="E14" s="22">
        <f t="shared" si="0"/>
        <v>60</v>
      </c>
      <c r="F14" s="196">
        <v>2</v>
      </c>
      <c r="G14" s="197"/>
      <c r="H14" s="8">
        <v>1</v>
      </c>
      <c r="I14" s="16">
        <f>SUM(C14*F14*H14*D14)</f>
        <v>14536416</v>
      </c>
      <c r="J14" s="7">
        <f>+F7</f>
        <v>2.2000000000000002</v>
      </c>
      <c r="K14" s="16">
        <f>ROUND(I14*J14,2)</f>
        <v>31980115.199999999</v>
      </c>
      <c r="L14" s="9"/>
      <c r="M14" s="9"/>
      <c r="N14" s="9"/>
      <c r="O14" s="9"/>
      <c r="P14" s="9"/>
      <c r="Q14" s="9"/>
    </row>
    <row r="15" spans="1:17" s="2" customFormat="1" ht="81.75" customHeight="1">
      <c r="A15" s="6">
        <v>3</v>
      </c>
      <c r="B15" s="5" t="s">
        <v>97</v>
      </c>
      <c r="C15" s="6">
        <v>1</v>
      </c>
      <c r="D15" s="17">
        <v>2725578</v>
      </c>
      <c r="E15" s="22">
        <f t="shared" si="0"/>
        <v>18</v>
      </c>
      <c r="F15" s="196">
        <v>2</v>
      </c>
      <c r="G15" s="197"/>
      <c r="H15" s="8">
        <v>0.3</v>
      </c>
      <c r="I15" s="16">
        <f>SUM(C15*F15*H15*D15)</f>
        <v>1635346.8</v>
      </c>
      <c r="J15" s="7">
        <f>+F7</f>
        <v>2.2000000000000002</v>
      </c>
      <c r="K15" s="16">
        <f>ROUND(I15*J15,2)</f>
        <v>3597762.96</v>
      </c>
      <c r="L15" s="9"/>
      <c r="M15" s="9"/>
      <c r="N15" s="9"/>
      <c r="O15" s="9"/>
      <c r="P15" s="9"/>
      <c r="Q15" s="9"/>
    </row>
    <row r="16" spans="1:17" s="2" customFormat="1" ht="81.75" customHeight="1">
      <c r="A16" s="6">
        <v>4</v>
      </c>
      <c r="B16" s="5" t="s">
        <v>92</v>
      </c>
      <c r="C16" s="6">
        <v>1</v>
      </c>
      <c r="D16" s="17">
        <v>2725578</v>
      </c>
      <c r="E16" s="22">
        <f t="shared" si="0"/>
        <v>24</v>
      </c>
      <c r="F16" s="196">
        <v>2</v>
      </c>
      <c r="G16" s="197"/>
      <c r="H16" s="119">
        <v>0.4</v>
      </c>
      <c r="I16" s="16">
        <f>SUM(C16*F16*H16*D16)</f>
        <v>2180462.4</v>
      </c>
      <c r="J16" s="7">
        <f>+F7</f>
        <v>2.2000000000000002</v>
      </c>
      <c r="K16" s="16">
        <f>ROUND(I16*J16,2)</f>
        <v>4797017.28</v>
      </c>
      <c r="L16" s="9"/>
      <c r="M16" s="9"/>
      <c r="N16" s="9"/>
      <c r="O16" s="9"/>
      <c r="P16" s="9"/>
      <c r="Q16" s="9"/>
    </row>
    <row r="17" spans="1:17" s="2" customFormat="1" ht="81.75" customHeight="1">
      <c r="A17" s="6">
        <v>5</v>
      </c>
      <c r="B17" s="5" t="s">
        <v>106</v>
      </c>
      <c r="C17" s="6">
        <v>1</v>
      </c>
      <c r="D17" s="17">
        <v>1362789</v>
      </c>
      <c r="E17" s="22">
        <f t="shared" si="0"/>
        <v>30</v>
      </c>
      <c r="F17" s="196">
        <v>2</v>
      </c>
      <c r="G17" s="197"/>
      <c r="H17" s="119">
        <v>0.5</v>
      </c>
      <c r="I17" s="16">
        <f t="shared" ref="I17:I18" si="1">SUM(C17*F17*H17*D17)</f>
        <v>1362789</v>
      </c>
      <c r="J17" s="7">
        <f>+F7</f>
        <v>2.2000000000000002</v>
      </c>
      <c r="K17" s="16">
        <f t="shared" ref="K17" si="2">ROUND(I17*J17,2)</f>
        <v>2998135.8</v>
      </c>
      <c r="L17" s="9"/>
      <c r="M17" s="9"/>
      <c r="N17" s="9"/>
      <c r="O17" s="9"/>
      <c r="P17" s="9"/>
      <c r="Q17" s="9"/>
    </row>
    <row r="18" spans="1:17" s="2" customFormat="1" ht="54.75" customHeight="1">
      <c r="A18" s="6">
        <v>6</v>
      </c>
      <c r="B18" s="5" t="s">
        <v>94</v>
      </c>
      <c r="C18" s="6">
        <v>1</v>
      </c>
      <c r="D18" s="17">
        <v>1817052</v>
      </c>
      <c r="E18" s="22">
        <f t="shared" si="0"/>
        <v>42</v>
      </c>
      <c r="F18" s="196">
        <v>2</v>
      </c>
      <c r="G18" s="197"/>
      <c r="H18" s="119">
        <v>0.7</v>
      </c>
      <c r="I18" s="120">
        <f t="shared" si="1"/>
        <v>2543872.7999999998</v>
      </c>
      <c r="J18" s="121">
        <f>+F7</f>
        <v>2.2000000000000002</v>
      </c>
      <c r="K18" s="120">
        <f>ROUND(I18*J18,2)</f>
        <v>5596520.1600000001</v>
      </c>
      <c r="L18" s="9"/>
      <c r="M18" s="9"/>
      <c r="N18" s="9"/>
      <c r="O18" s="9"/>
      <c r="P18" s="9"/>
      <c r="Q18" s="9"/>
    </row>
    <row r="19" spans="1:17" ht="31.5" customHeight="1">
      <c r="A19" s="214"/>
      <c r="B19" s="241"/>
      <c r="C19" s="241"/>
      <c r="D19" s="241"/>
      <c r="E19" s="241"/>
      <c r="F19" s="241"/>
      <c r="G19" s="215"/>
      <c r="H19" s="240" t="s">
        <v>66</v>
      </c>
      <c r="I19" s="240"/>
      <c r="J19" s="240"/>
      <c r="K19" s="165">
        <f>ROUND((SUM(K13:K18)),0)</f>
        <v>64959609</v>
      </c>
      <c r="L19" s="11">
        <f>SUM(I13:I18)</f>
        <v>29527095</v>
      </c>
    </row>
    <row r="20" spans="1:17" ht="24.75" customHeight="1">
      <c r="A20" s="237" t="s">
        <v>47</v>
      </c>
      <c r="B20" s="238"/>
      <c r="C20" s="238"/>
      <c r="D20" s="238"/>
      <c r="E20" s="238"/>
      <c r="F20" s="238"/>
      <c r="G20" s="238"/>
      <c r="H20" s="238"/>
      <c r="I20" s="238"/>
      <c r="J20" s="239"/>
      <c r="K20" s="166">
        <f>K19</f>
        <v>64959609</v>
      </c>
      <c r="L20" s="11"/>
    </row>
    <row r="21" spans="1:17" ht="23.25" customHeight="1">
      <c r="A21" s="234" t="s">
        <v>8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6"/>
    </row>
    <row r="22" spans="1:17" ht="25.5" customHeight="1">
      <c r="A22" s="232" t="s">
        <v>21</v>
      </c>
      <c r="B22" s="180" t="s">
        <v>9</v>
      </c>
      <c r="C22" s="180" t="s">
        <v>22</v>
      </c>
      <c r="D22" s="180" t="s">
        <v>44</v>
      </c>
      <c r="E22" s="180" t="s">
        <v>3</v>
      </c>
      <c r="F22" s="180" t="s">
        <v>4</v>
      </c>
      <c r="G22" s="180" t="s">
        <v>19</v>
      </c>
      <c r="H22" s="180" t="s">
        <v>21</v>
      </c>
      <c r="I22" s="182" t="s">
        <v>7</v>
      </c>
      <c r="J22" s="183"/>
      <c r="K22" s="184"/>
    </row>
    <row r="23" spans="1:17" ht="13.5" customHeight="1">
      <c r="A23" s="233"/>
      <c r="B23" s="181"/>
      <c r="C23" s="181"/>
      <c r="D23" s="181"/>
      <c r="E23" s="181"/>
      <c r="F23" s="181"/>
      <c r="G23" s="181"/>
      <c r="H23" s="181"/>
      <c r="I23" s="185"/>
      <c r="J23" s="186"/>
      <c r="K23" s="187"/>
    </row>
    <row r="24" spans="1:17" ht="127.5" customHeight="1">
      <c r="A24" s="6">
        <v>1</v>
      </c>
      <c r="B24" s="5" t="s">
        <v>99</v>
      </c>
      <c r="C24" s="6" t="s">
        <v>100</v>
      </c>
      <c r="D24" s="16">
        <v>716353</v>
      </c>
      <c r="E24" s="7">
        <v>9</v>
      </c>
      <c r="F24" s="85">
        <v>1</v>
      </c>
      <c r="G24" s="23">
        <v>1</v>
      </c>
      <c r="H24" s="85">
        <v>9</v>
      </c>
      <c r="I24" s="177">
        <f>D24*F24*G24*H24</f>
        <v>6447177</v>
      </c>
      <c r="J24" s="178"/>
      <c r="K24" s="179"/>
    </row>
    <row r="25" spans="1:17" ht="65.25" customHeight="1">
      <c r="A25" s="6">
        <v>1</v>
      </c>
      <c r="B25" s="5" t="s">
        <v>98</v>
      </c>
      <c r="C25" s="6" t="s">
        <v>23</v>
      </c>
      <c r="D25" s="16">
        <v>7540437</v>
      </c>
      <c r="E25" s="7">
        <v>60</v>
      </c>
      <c r="F25" s="85">
        <v>2</v>
      </c>
      <c r="G25" s="23">
        <v>0.75</v>
      </c>
      <c r="H25" s="85">
        <v>1</v>
      </c>
      <c r="I25" s="178">
        <f>D25*F25*G25*H25</f>
        <v>11310655.5</v>
      </c>
      <c r="J25" s="178"/>
      <c r="K25" s="179"/>
    </row>
    <row r="26" spans="1:17" ht="45" customHeight="1">
      <c r="A26" s="6">
        <v>1</v>
      </c>
      <c r="B26" s="5" t="s">
        <v>90</v>
      </c>
      <c r="C26" s="6" t="s">
        <v>23</v>
      </c>
      <c r="D26" s="16">
        <v>658086.13440282736</v>
      </c>
      <c r="E26" s="7">
        <v>60</v>
      </c>
      <c r="F26" s="85">
        <v>2</v>
      </c>
      <c r="G26" s="23">
        <v>1</v>
      </c>
      <c r="H26" s="85"/>
      <c r="I26" s="178">
        <f>D26*F26*G26</f>
        <v>1316172.2688056547</v>
      </c>
      <c r="J26" s="178"/>
      <c r="K26" s="179"/>
    </row>
    <row r="27" spans="1:17" ht="24.75" customHeight="1">
      <c r="A27" s="229" t="s">
        <v>48</v>
      </c>
      <c r="B27" s="230"/>
      <c r="C27" s="230"/>
      <c r="D27" s="230"/>
      <c r="E27" s="230"/>
      <c r="F27" s="230"/>
      <c r="G27" s="231"/>
      <c r="H27" s="228">
        <f>+ROUND((SUM(I24+I25+I26)),0)</f>
        <v>19074005</v>
      </c>
      <c r="I27" s="228"/>
      <c r="J27" s="228"/>
      <c r="K27" s="228"/>
      <c r="L27" s="11"/>
    </row>
    <row r="28" spans="1:17" ht="25.5" customHeight="1">
      <c r="A28" s="192" t="s">
        <v>49</v>
      </c>
      <c r="B28" s="192"/>
      <c r="C28" s="192"/>
      <c r="D28" s="192"/>
      <c r="E28" s="192"/>
      <c r="F28" s="192"/>
      <c r="G28" s="192"/>
      <c r="H28" s="193">
        <f>ROUND(H27+K20,0)</f>
        <v>84033614</v>
      </c>
      <c r="I28" s="193"/>
      <c r="J28" s="193"/>
      <c r="K28" s="193"/>
      <c r="L28" s="11"/>
    </row>
    <row r="29" spans="1:17" ht="24" customHeight="1">
      <c r="A29" s="192" t="s">
        <v>20</v>
      </c>
      <c r="B29" s="192"/>
      <c r="C29" s="192"/>
      <c r="D29" s="192"/>
      <c r="E29" s="192"/>
      <c r="F29" s="192"/>
      <c r="G29" s="192"/>
      <c r="H29" s="193">
        <f>ROUND((H28*0.19),0)</f>
        <v>15966387</v>
      </c>
      <c r="I29" s="193"/>
      <c r="J29" s="193"/>
      <c r="K29" s="193"/>
      <c r="L29" s="19"/>
    </row>
    <row r="30" spans="1:17" ht="38.25" customHeight="1">
      <c r="A30" s="192" t="s">
        <v>18</v>
      </c>
      <c r="B30" s="192"/>
      <c r="C30" s="192"/>
      <c r="D30" s="192"/>
      <c r="E30" s="192"/>
      <c r="F30" s="192"/>
      <c r="G30" s="192"/>
      <c r="H30" s="194">
        <f>ROUND(+H28+H29,0)-1</f>
        <v>100000000</v>
      </c>
      <c r="I30" s="195"/>
      <c r="J30" s="195"/>
      <c r="K30" s="195"/>
      <c r="L30" s="20"/>
      <c r="O30" s="1">
        <f>+H30/3</f>
        <v>33333333.333333332</v>
      </c>
    </row>
    <row r="31" spans="1:17" s="15" customFormat="1" ht="15">
      <c r="A31" s="101"/>
      <c r="B31" s="13"/>
      <c r="C31" s="13"/>
      <c r="D31" s="13"/>
      <c r="E31" s="13"/>
      <c r="F31" s="13"/>
      <c r="G31" s="13"/>
      <c r="H31" s="13"/>
      <c r="I31" s="13"/>
      <c r="J31" s="13"/>
      <c r="K31" s="102"/>
      <c r="L31" s="14"/>
    </row>
    <row r="32" spans="1:17" s="15" customFormat="1" ht="42.75" customHeight="1">
      <c r="A32" s="189" t="s">
        <v>89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1"/>
      <c r="L32" s="21"/>
    </row>
    <row r="33" spans="1:13" s="15" customFormat="1" ht="21">
      <c r="A33" s="103"/>
      <c r="B33" s="18"/>
      <c r="C33" s="18"/>
      <c r="D33" s="18"/>
      <c r="E33" s="18"/>
      <c r="F33" s="18"/>
      <c r="G33" s="18"/>
      <c r="H33" s="18"/>
      <c r="I33" s="18"/>
      <c r="J33" s="18"/>
      <c r="K33" s="104"/>
      <c r="L33" s="14"/>
      <c r="M33" s="15" t="s">
        <v>91</v>
      </c>
    </row>
    <row r="34" spans="1:13" s="15" customFormat="1" ht="21">
      <c r="A34" s="103"/>
      <c r="B34" s="18"/>
      <c r="C34" s="18"/>
      <c r="D34" s="18"/>
      <c r="E34" s="18"/>
      <c r="F34" s="18"/>
      <c r="G34" s="18"/>
      <c r="H34" s="18"/>
      <c r="I34" s="18"/>
      <c r="J34" s="18"/>
      <c r="K34" s="104"/>
      <c r="L34" s="14"/>
    </row>
    <row r="35" spans="1:13" s="15" customFormat="1" ht="21">
      <c r="A35" s="103"/>
      <c r="B35" s="18"/>
      <c r="C35" s="18"/>
      <c r="D35" s="18"/>
      <c r="E35" s="18"/>
      <c r="F35" s="18"/>
      <c r="G35" s="18"/>
      <c r="H35" s="18"/>
      <c r="I35" s="18"/>
      <c r="J35" s="18"/>
      <c r="K35" s="104"/>
      <c r="L35" s="14"/>
    </row>
    <row r="36" spans="1:13" s="15" customFormat="1" ht="21">
      <c r="A36" s="103"/>
      <c r="B36" s="18"/>
      <c r="C36" s="114"/>
      <c r="D36" s="114"/>
      <c r="E36" s="114"/>
      <c r="F36" s="114"/>
      <c r="G36" s="18"/>
      <c r="H36" s="18"/>
      <c r="I36" s="18"/>
      <c r="J36" s="18"/>
      <c r="K36" s="104"/>
      <c r="L36" s="14"/>
    </row>
    <row r="37" spans="1:13" s="15" customFormat="1" ht="26.25" customHeight="1">
      <c r="A37" s="103"/>
      <c r="B37" s="18"/>
      <c r="C37" s="227" t="s">
        <v>108</v>
      </c>
      <c r="D37" s="227"/>
      <c r="E37" s="227"/>
      <c r="F37" s="227"/>
      <c r="G37" s="18"/>
      <c r="H37" s="18"/>
      <c r="I37" s="18"/>
      <c r="J37" s="18"/>
      <c r="K37" s="104"/>
      <c r="L37" s="14"/>
    </row>
    <row r="38" spans="1:13" s="15" customFormat="1" ht="21" customHeight="1">
      <c r="A38" s="103"/>
      <c r="B38" s="113"/>
      <c r="C38" s="226" t="s">
        <v>76</v>
      </c>
      <c r="D38" s="226"/>
      <c r="E38" s="226"/>
      <c r="F38" s="226"/>
      <c r="G38" s="109"/>
      <c r="H38" s="109"/>
      <c r="I38" s="109"/>
      <c r="J38" s="109"/>
      <c r="K38" s="105"/>
      <c r="L38" s="14"/>
    </row>
    <row r="39" spans="1:13" s="15" customFormat="1" ht="21" customHeight="1">
      <c r="A39" s="103"/>
      <c r="B39" s="77"/>
      <c r="C39" s="77"/>
      <c r="D39" s="77"/>
      <c r="E39" s="110"/>
      <c r="F39" s="77"/>
      <c r="G39" s="111"/>
      <c r="H39" s="112"/>
      <c r="I39" s="112"/>
      <c r="J39" s="109"/>
      <c r="K39" s="104"/>
      <c r="L39" s="14"/>
    </row>
    <row r="40" spans="1:13" s="15" customFormat="1" ht="21" customHeight="1">
      <c r="A40" s="103"/>
      <c r="B40" s="86"/>
      <c r="C40" s="18"/>
      <c r="D40" s="18"/>
      <c r="E40" s="115" t="s">
        <v>74</v>
      </c>
      <c r="F40" s="188" t="s">
        <v>109</v>
      </c>
      <c r="G40" s="188"/>
      <c r="H40" s="188"/>
      <c r="I40" s="188"/>
      <c r="J40" s="109"/>
      <c r="K40" s="104"/>
      <c r="L40" s="14"/>
    </row>
    <row r="41" spans="1:13" ht="14.25">
      <c r="A41" s="106"/>
      <c r="B41" s="107"/>
      <c r="C41" s="107"/>
      <c r="D41" s="107"/>
      <c r="E41" s="107"/>
      <c r="F41" s="225" t="s">
        <v>64</v>
      </c>
      <c r="G41" s="225"/>
      <c r="H41" s="225"/>
      <c r="I41" s="225"/>
      <c r="J41" s="107"/>
      <c r="K41" s="108"/>
    </row>
    <row r="43" spans="1:13" hidden="1">
      <c r="J43" s="10"/>
      <c r="K43" s="11"/>
    </row>
    <row r="44" spans="1:13" hidden="1"/>
    <row r="45" spans="1:13" hidden="1"/>
    <row r="46" spans="1:13" hidden="1"/>
    <row r="47" spans="1:13" ht="23.25">
      <c r="B47" s="12"/>
      <c r="C47" s="12"/>
      <c r="D47" s="12"/>
    </row>
    <row r="48" spans="1:13" ht="23.25">
      <c r="B48" s="12"/>
      <c r="C48" s="12"/>
      <c r="D48" s="12"/>
    </row>
    <row r="49" spans="2:4" ht="23.25">
      <c r="B49" s="12"/>
      <c r="C49" s="12"/>
      <c r="D49" s="12"/>
    </row>
  </sheetData>
  <mergeCells count="51">
    <mergeCell ref="I25:K25"/>
    <mergeCell ref="I26:K26"/>
    <mergeCell ref="F17:G17"/>
    <mergeCell ref="F41:I41"/>
    <mergeCell ref="C38:F38"/>
    <mergeCell ref="C37:F37"/>
    <mergeCell ref="H27:K27"/>
    <mergeCell ref="E22:E23"/>
    <mergeCell ref="F22:F23"/>
    <mergeCell ref="G22:G23"/>
    <mergeCell ref="A27:G27"/>
    <mergeCell ref="A22:A23"/>
    <mergeCell ref="A21:K21"/>
    <mergeCell ref="A20:J20"/>
    <mergeCell ref="H19:J19"/>
    <mergeCell ref="A19:G19"/>
    <mergeCell ref="D10:D11"/>
    <mergeCell ref="E10:E11"/>
    <mergeCell ref="F10:G11"/>
    <mergeCell ref="H10:H11"/>
    <mergeCell ref="I10:I11"/>
    <mergeCell ref="F13:G13"/>
    <mergeCell ref="F15:G15"/>
    <mergeCell ref="F18:G18"/>
    <mergeCell ref="F14:G14"/>
    <mergeCell ref="A1:K5"/>
    <mergeCell ref="A6:K6"/>
    <mergeCell ref="F7:G7"/>
    <mergeCell ref="A8:K8"/>
    <mergeCell ref="F9:G9"/>
    <mergeCell ref="J10:J11"/>
    <mergeCell ref="F16:G16"/>
    <mergeCell ref="K10:K11"/>
    <mergeCell ref="A12:K12"/>
    <mergeCell ref="A10:A11"/>
    <mergeCell ref="B10:B11"/>
    <mergeCell ref="C10:C11"/>
    <mergeCell ref="F40:I40"/>
    <mergeCell ref="A32:K32"/>
    <mergeCell ref="A28:G28"/>
    <mergeCell ref="A29:G29"/>
    <mergeCell ref="A30:G30"/>
    <mergeCell ref="H28:K28"/>
    <mergeCell ref="H29:K29"/>
    <mergeCell ref="H30:K30"/>
    <mergeCell ref="I24:K24"/>
    <mergeCell ref="B22:B23"/>
    <mergeCell ref="C22:C23"/>
    <mergeCell ref="D22:D23"/>
    <mergeCell ref="I22:K23"/>
    <mergeCell ref="H22:H23"/>
  </mergeCells>
  <printOptions horizontalCentered="1"/>
  <pageMargins left="0.39370078740157499" right="7.8740157480315001E-2" top="0.59055118110236204" bottom="0.39370078740157499" header="0" footer="0"/>
  <pageSetup scale="45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N45"/>
  <sheetViews>
    <sheetView tabSelected="1" view="pageBreakPreview" topLeftCell="A11" zoomScale="24" zoomScaleNormal="75" zoomScaleSheetLayoutView="70" zoomScalePageLayoutView="75" workbookViewId="0">
      <selection activeCell="N21" sqref="N21"/>
    </sheetView>
  </sheetViews>
  <sheetFormatPr baseColWidth="10" defaultColWidth="11.42578125" defaultRowHeight="12.75"/>
  <cols>
    <col min="1" max="1" width="8.28515625" customWidth="1"/>
    <col min="2" max="2" width="29.42578125" customWidth="1"/>
    <col min="3" max="3" width="32.42578125" customWidth="1"/>
    <col min="4" max="4" width="29.42578125" customWidth="1"/>
    <col min="5" max="5" width="22.42578125" hidden="1" customWidth="1"/>
    <col min="6" max="6" width="33.140625" customWidth="1"/>
    <col min="7" max="7" width="21" hidden="1" customWidth="1"/>
    <col min="8" max="8" width="32" customWidth="1"/>
    <col min="9" max="9" width="21" hidden="1" customWidth="1"/>
    <col min="10" max="10" width="27.5703125" customWidth="1"/>
    <col min="11" max="11" width="22" hidden="1" customWidth="1"/>
    <col min="12" max="12" width="25.28515625" customWidth="1"/>
    <col min="13" max="13" width="22" hidden="1" customWidth="1"/>
    <col min="14" max="14" width="28.42578125" customWidth="1"/>
    <col min="15" max="15" width="22" hidden="1" customWidth="1"/>
    <col min="16" max="16" width="14.5703125" style="53" hidden="1" customWidth="1"/>
    <col min="17" max="17" width="50.85546875" style="53" hidden="1" customWidth="1"/>
    <col min="18" max="18" width="31.85546875" style="53" customWidth="1"/>
    <col min="19" max="19" width="47.7109375" customWidth="1"/>
    <col min="20" max="20" width="25.85546875" style="53" hidden="1" customWidth="1"/>
    <col min="21" max="21" width="21.85546875" customWidth="1"/>
    <col min="22" max="22" width="30.28515625" style="53" hidden="1" customWidth="1"/>
    <col min="23" max="23" width="31.140625" customWidth="1"/>
    <col min="24" max="24" width="26" style="53" hidden="1" customWidth="1"/>
    <col min="25" max="25" width="45.85546875" style="53" hidden="1" customWidth="1"/>
    <col min="26" max="26" width="35.5703125" style="53" customWidth="1"/>
    <col min="27" max="27" width="31.140625" customWidth="1"/>
    <col min="28" max="28" width="16" customWidth="1"/>
    <col min="29" max="29" width="13.42578125" customWidth="1"/>
    <col min="32" max="32" width="13.140625" customWidth="1"/>
    <col min="33" max="33" width="16.42578125" customWidth="1"/>
    <col min="35" max="35" width="12.7109375" customWidth="1"/>
    <col min="36" max="36" width="12.42578125" customWidth="1"/>
  </cols>
  <sheetData>
    <row r="1" spans="1:40" s="1" customFormat="1" ht="21.75" customHeight="1">
      <c r="A1" s="198" t="s">
        <v>25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</row>
    <row r="2" spans="1:40" s="1" customFormat="1" ht="24.75" customHeight="1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40" s="1" customFormat="1" ht="24.75" customHeight="1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40" s="1" customFormat="1" ht="24.75" customHeight="1">
      <c r="A4" s="201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</row>
    <row r="5" spans="1:40" s="1" customFormat="1" ht="24.75" customHeight="1">
      <c r="A5" s="201"/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</row>
    <row r="6" spans="1:40" ht="28.35" customHeight="1">
      <c r="A6" s="264" t="s">
        <v>29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0" ht="84.75" customHeight="1">
      <c r="A7" s="266" t="s">
        <v>30</v>
      </c>
      <c r="B7" s="266"/>
      <c r="C7" s="267" t="s">
        <v>82</v>
      </c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5"/>
    </row>
    <row r="8" spans="1:40" ht="32.1" customHeight="1">
      <c r="A8" s="269" t="s">
        <v>27</v>
      </c>
      <c r="B8" s="270"/>
      <c r="C8" s="270"/>
      <c r="D8" s="272" t="s">
        <v>42</v>
      </c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4"/>
      <c r="S8" s="281" t="s">
        <v>8</v>
      </c>
      <c r="T8" s="282"/>
      <c r="U8" s="282"/>
      <c r="V8" s="282"/>
      <c r="W8" s="282"/>
      <c r="X8" s="282"/>
      <c r="Y8" s="282"/>
      <c r="Z8" s="282"/>
    </row>
    <row r="9" spans="1:40" ht="36.75" customHeight="1">
      <c r="A9" s="269"/>
      <c r="B9" s="259" t="s">
        <v>31</v>
      </c>
      <c r="C9" s="259"/>
      <c r="D9" s="260" t="str">
        <f>+PRESUPUESTO!B13</f>
        <v>DIRECTOR ESPECIALISTA DE PROYECTOS: Profesional en Ingenieria de vias y transporte,con título especialista en área afín. Experiencia general de no menor a seis (06) años.</v>
      </c>
      <c r="E9" s="260"/>
      <c r="F9" s="243" t="str">
        <f>PRESUPUESTO!B14</f>
        <v>ABOGADO ESPECIALISTA: Profesional en derecho, con titulo de especialización en áreas afines, experiencia general no meñor a (06) años y relacionada al menos de cuatro (04) años.</v>
      </c>
      <c r="G9" s="244"/>
      <c r="H9" s="243" t="str">
        <f>+PRESUPUESTO!B15</f>
        <v>ARQUITECTO: Profesional en arquitectura, con experiencia profesional no menor a dos (02) años.</v>
      </c>
      <c r="I9" s="244"/>
      <c r="J9" s="243" t="str">
        <f>PRESUPUESTO!B16</f>
        <v>INGENIERO CIVIL.Profesional en ingenieria civil, experiencia general miníma de 02 años.</v>
      </c>
      <c r="K9" s="244"/>
      <c r="L9" s="243" t="str">
        <f>PRESUPUESTO!B17</f>
        <v>CADENERO, con experiencia general de 6 meses.</v>
      </c>
      <c r="M9" s="244"/>
      <c r="N9" s="243" t="str">
        <f>+PRESUPUESTO!B18</f>
        <v>TOPOGRAFO: Profesional con título de pregrado en una rama afín al proyecto y con experiencia profesional no menor de cinco (5) años.</v>
      </c>
      <c r="O9" s="244"/>
      <c r="P9" s="275" t="s">
        <v>32</v>
      </c>
      <c r="Q9" s="275"/>
      <c r="R9" s="276"/>
      <c r="S9" s="283" t="str">
        <f>+PRESUPUESTO!B24</f>
        <v>Comisión topográfica que incluye:
• Personal: Topógrafo certificado, dos cadeneros,
• Equipos con certificados de verificación y ajuste vigentes para estación total, nivel de precisión.
• Radios, GPS y otros medios de comunicación
• Procesamiento de Información: planos en medio físico y magnético e informe impreso.
• Elementos de apoyo, estaca, pinturas.</v>
      </c>
      <c r="T9" s="284"/>
      <c r="U9" s="284" t="str">
        <f>+PRESUPUESTO!B26</f>
        <v>Papeleria y comunicaciones</v>
      </c>
      <c r="V9" s="284"/>
      <c r="W9" s="284" t="str">
        <f>PRESUPUESTO!B25</f>
        <v>Alquiler transporte para vehiculos tipo campero PC KUP, camioneta o similar, con cilindraje desde 1300 cc hasta 1999 cc incluyendo los costos de mantenimiento, conductor y combustible</v>
      </c>
      <c r="X9" s="284"/>
      <c r="Y9" s="278" t="s">
        <v>81</v>
      </c>
      <c r="Z9" s="278" t="s">
        <v>104</v>
      </c>
    </row>
    <row r="10" spans="1:40" ht="56.25" customHeight="1">
      <c r="A10" s="269"/>
      <c r="B10" s="259"/>
      <c r="C10" s="259"/>
      <c r="D10" s="260"/>
      <c r="E10" s="260"/>
      <c r="F10" s="245"/>
      <c r="G10" s="246"/>
      <c r="H10" s="245"/>
      <c r="I10" s="246"/>
      <c r="J10" s="245"/>
      <c r="K10" s="246"/>
      <c r="L10" s="245"/>
      <c r="M10" s="246"/>
      <c r="N10" s="245"/>
      <c r="O10" s="246"/>
      <c r="P10" s="275"/>
      <c r="Q10" s="275"/>
      <c r="R10" s="276"/>
      <c r="S10" s="283"/>
      <c r="T10" s="284"/>
      <c r="U10" s="284"/>
      <c r="V10" s="284"/>
      <c r="W10" s="284"/>
      <c r="X10" s="284"/>
      <c r="Y10" s="279"/>
      <c r="Z10" s="279"/>
    </row>
    <row r="11" spans="1:40" ht="160.5" customHeight="1">
      <c r="A11" s="269"/>
      <c r="B11" s="271" t="s">
        <v>79</v>
      </c>
      <c r="C11" s="271"/>
      <c r="D11" s="260"/>
      <c r="E11" s="260"/>
      <c r="F11" s="247"/>
      <c r="G11" s="248"/>
      <c r="H11" s="247"/>
      <c r="I11" s="248"/>
      <c r="J11" s="247"/>
      <c r="K11" s="248"/>
      <c r="L11" s="247"/>
      <c r="M11" s="248"/>
      <c r="N11" s="247"/>
      <c r="O11" s="248"/>
      <c r="P11" s="275"/>
      <c r="Q11" s="275"/>
      <c r="R11" s="276"/>
      <c r="S11" s="283"/>
      <c r="T11" s="284"/>
      <c r="U11" s="284"/>
      <c r="V11" s="284"/>
      <c r="W11" s="284"/>
      <c r="X11" s="284"/>
      <c r="Y11" s="279"/>
      <c r="Z11" s="279"/>
    </row>
    <row r="12" spans="1:40" ht="40.5" customHeight="1">
      <c r="A12" s="269"/>
      <c r="B12" s="271"/>
      <c r="C12" s="271"/>
      <c r="D12" s="251" t="s">
        <v>10</v>
      </c>
      <c r="E12" s="252"/>
      <c r="F12" s="249" t="s">
        <v>10</v>
      </c>
      <c r="G12" s="250"/>
      <c r="H12" s="249" t="s">
        <v>10</v>
      </c>
      <c r="I12" s="250"/>
      <c r="J12" s="249" t="s">
        <v>10</v>
      </c>
      <c r="K12" s="250"/>
      <c r="L12" s="249" t="s">
        <v>10</v>
      </c>
      <c r="M12" s="250"/>
      <c r="N12" s="249" t="s">
        <v>10</v>
      </c>
      <c r="O12" s="250"/>
      <c r="P12" s="87"/>
      <c r="Q12" s="87"/>
      <c r="R12" s="88"/>
      <c r="S12" s="26" t="s">
        <v>34</v>
      </c>
      <c r="T12" s="27" t="s">
        <v>35</v>
      </c>
      <c r="U12" s="27" t="s">
        <v>43</v>
      </c>
      <c r="V12" s="27" t="s">
        <v>35</v>
      </c>
      <c r="W12" s="27" t="s">
        <v>43</v>
      </c>
      <c r="X12" s="27" t="s">
        <v>35</v>
      </c>
      <c r="Y12" s="279"/>
      <c r="Z12" s="279"/>
    </row>
    <row r="13" spans="1:40" ht="26.25" customHeight="1">
      <c r="A13" s="269"/>
      <c r="B13" s="271"/>
      <c r="C13" s="271"/>
      <c r="D13" s="249">
        <f>PRESUPUESTO!J7</f>
        <v>2</v>
      </c>
      <c r="E13" s="250"/>
      <c r="F13" s="249">
        <v>2</v>
      </c>
      <c r="G13" s="250"/>
      <c r="H13" s="249">
        <f>PRESUPUESTO!J7</f>
        <v>2</v>
      </c>
      <c r="I13" s="250"/>
      <c r="J13" s="249">
        <v>2</v>
      </c>
      <c r="K13" s="250"/>
      <c r="L13" s="249">
        <v>2</v>
      </c>
      <c r="M13" s="250"/>
      <c r="N13" s="249">
        <v>2</v>
      </c>
      <c r="O13" s="250"/>
      <c r="P13" s="87"/>
      <c r="Q13" s="87"/>
      <c r="R13" s="88"/>
      <c r="S13" s="26" t="s">
        <v>102</v>
      </c>
      <c r="T13" s="28">
        <v>1</v>
      </c>
      <c r="U13" s="26" t="s">
        <v>80</v>
      </c>
      <c r="V13" s="158">
        <v>1</v>
      </c>
      <c r="W13" s="27" t="s">
        <v>80</v>
      </c>
      <c r="X13" s="158">
        <v>1</v>
      </c>
      <c r="Y13" s="279"/>
      <c r="Z13" s="279"/>
    </row>
    <row r="14" spans="1:40" ht="36.75" customHeight="1">
      <c r="A14" s="269"/>
      <c r="B14" s="271"/>
      <c r="C14" s="271"/>
      <c r="D14" s="260" t="s">
        <v>37</v>
      </c>
      <c r="E14" s="260"/>
      <c r="F14" s="251" t="s">
        <v>37</v>
      </c>
      <c r="G14" s="277"/>
      <c r="H14" s="251" t="s">
        <v>37</v>
      </c>
      <c r="I14" s="277"/>
      <c r="J14" s="251" t="s">
        <v>37</v>
      </c>
      <c r="K14" s="252"/>
      <c r="L14" s="251" t="s">
        <v>37</v>
      </c>
      <c r="M14" s="252"/>
      <c r="N14" s="251" t="s">
        <v>37</v>
      </c>
      <c r="O14" s="252"/>
      <c r="P14" s="87"/>
      <c r="Q14" s="87"/>
      <c r="R14" s="88"/>
      <c r="S14" s="26" t="s">
        <v>103</v>
      </c>
      <c r="T14" s="87" t="s">
        <v>46</v>
      </c>
      <c r="U14" s="27" t="s">
        <v>72</v>
      </c>
      <c r="V14" s="161" t="s">
        <v>26</v>
      </c>
      <c r="W14" s="27" t="s">
        <v>72</v>
      </c>
      <c r="X14" s="162" t="s">
        <v>26</v>
      </c>
      <c r="Y14" s="280"/>
      <c r="Z14" s="280"/>
    </row>
    <row r="15" spans="1:40" ht="33" customHeight="1">
      <c r="A15" s="269"/>
      <c r="B15" s="271"/>
      <c r="C15" s="271"/>
      <c r="D15" s="263">
        <f>PRESUPUESTO!D13</f>
        <v>7268208</v>
      </c>
      <c r="E15" s="263"/>
      <c r="F15" s="253">
        <f>PRESUPUESTO!D14</f>
        <v>7268208</v>
      </c>
      <c r="G15" s="254"/>
      <c r="H15" s="253">
        <f>PRESUPUESTO!D15</f>
        <v>2725578</v>
      </c>
      <c r="I15" s="254"/>
      <c r="J15" s="253">
        <f>PRESUPUESTO!D16</f>
        <v>2725578</v>
      </c>
      <c r="K15" s="254"/>
      <c r="L15" s="253">
        <f>PRESUPUESTO!D17</f>
        <v>1362789</v>
      </c>
      <c r="M15" s="254"/>
      <c r="N15" s="253">
        <f>PRESUPUESTO!D18</f>
        <v>1817052</v>
      </c>
      <c r="O15" s="254"/>
      <c r="P15" s="29"/>
      <c r="Q15" s="136" t="s">
        <v>6</v>
      </c>
      <c r="R15" s="30"/>
      <c r="S15" s="65"/>
      <c r="T15" s="71">
        <f>PRESUPUESTO!D24</f>
        <v>716353</v>
      </c>
      <c r="U15" s="65">
        <f>PRESUPUESTO!G26</f>
        <v>1</v>
      </c>
      <c r="V15" s="71">
        <f>PRESUPUESTO!D26</f>
        <v>658086.13440282736</v>
      </c>
      <c r="W15" s="70">
        <v>1</v>
      </c>
      <c r="X15" s="71">
        <f>PRESUPUESTO!D25</f>
        <v>7540437</v>
      </c>
      <c r="Y15" s="87" t="s">
        <v>39</v>
      </c>
      <c r="Z15" s="87" t="s">
        <v>39</v>
      </c>
    </row>
    <row r="16" spans="1:40" ht="61.5" customHeight="1">
      <c r="A16" s="168"/>
      <c r="B16" s="169"/>
      <c r="C16" s="169"/>
      <c r="D16" s="167" t="s">
        <v>101</v>
      </c>
      <c r="E16" s="172">
        <f>PRESUPUESTO!H13</f>
        <v>0.5</v>
      </c>
      <c r="F16" s="167" t="s">
        <v>101</v>
      </c>
      <c r="G16" s="172">
        <f>PRESUPUESTO!H14</f>
        <v>1</v>
      </c>
      <c r="H16" s="167" t="s">
        <v>101</v>
      </c>
      <c r="I16" s="172">
        <f>PRESUPUESTO!H15</f>
        <v>0.3</v>
      </c>
      <c r="J16" s="167" t="s">
        <v>101</v>
      </c>
      <c r="K16" s="172">
        <f>PRESUPUESTO!H16</f>
        <v>0.4</v>
      </c>
      <c r="L16" s="167" t="s">
        <v>101</v>
      </c>
      <c r="M16" s="172">
        <f>PRESUPUESTO!H17</f>
        <v>0.5</v>
      </c>
      <c r="N16" s="167" t="s">
        <v>101</v>
      </c>
      <c r="O16" s="172">
        <f>PRESUPUESTO!H18</f>
        <v>0.7</v>
      </c>
      <c r="P16" s="29"/>
      <c r="Q16" s="136"/>
      <c r="R16" s="29"/>
      <c r="S16" s="170"/>
      <c r="T16" s="71"/>
      <c r="U16" s="170"/>
      <c r="V16" s="71"/>
      <c r="W16" s="70"/>
      <c r="X16" s="71"/>
      <c r="Y16" s="171"/>
      <c r="Z16" s="171"/>
    </row>
    <row r="17" spans="1:35" ht="47.25" customHeight="1">
      <c r="A17" s="89">
        <v>1</v>
      </c>
      <c r="B17" s="256" t="s">
        <v>83</v>
      </c>
      <c r="C17" s="256"/>
      <c r="D17" s="31">
        <v>0.1</v>
      </c>
      <c r="E17" s="80">
        <f>+D15*D17</f>
        <v>726820.8</v>
      </c>
      <c r="F17" s="31">
        <f>(100/6)/100</f>
        <v>0.16666666666666669</v>
      </c>
      <c r="G17" s="80">
        <f>+F15*F17</f>
        <v>1211368.0000000002</v>
      </c>
      <c r="H17" s="31">
        <v>0.05</v>
      </c>
      <c r="I17" s="80">
        <f>+H15*H17</f>
        <v>136278.9</v>
      </c>
      <c r="J17" s="31">
        <f>(60/6)/100</f>
        <v>0.1</v>
      </c>
      <c r="K17" s="80">
        <f>+J15*J17</f>
        <v>272557.8</v>
      </c>
      <c r="L17" s="31">
        <f>(60/6)/100</f>
        <v>0.1</v>
      </c>
      <c r="M17" s="80">
        <f>+L15*L17</f>
        <v>136278.9</v>
      </c>
      <c r="N17" s="31">
        <v>0.25</v>
      </c>
      <c r="O17" s="80">
        <f>+N15*N17</f>
        <v>454263</v>
      </c>
      <c r="P17" s="81">
        <f t="shared" ref="P17:P24" si="0">+SUM(E17+I17+O17+G17+K17+M17)</f>
        <v>2937567.4</v>
      </c>
      <c r="Q17" s="33">
        <f>+PRESUPUESTO!F7</f>
        <v>2.2000000000000002</v>
      </c>
      <c r="R17" s="82">
        <f>ROUND(Q17*P17,0)</f>
        <v>6462648</v>
      </c>
      <c r="S17" s="175">
        <v>9</v>
      </c>
      <c r="T17" s="81">
        <f>T15*S17</f>
        <v>6447177</v>
      </c>
      <c r="U17" s="34">
        <f>(100/6)/100</f>
        <v>0.16666666666666669</v>
      </c>
      <c r="V17" s="81">
        <f>V15*U17</f>
        <v>109681.02240047124</v>
      </c>
      <c r="W17" s="34">
        <v>0.17</v>
      </c>
      <c r="X17" s="81">
        <f>X15*W17</f>
        <v>1281874.29</v>
      </c>
      <c r="Y17" s="82">
        <f t="shared" ref="Y17:Y23" si="1">SUM(T17+V17+X17)</f>
        <v>7838732.3124004714</v>
      </c>
      <c r="Z17" s="82">
        <f t="shared" ref="Z17:Z24" si="2">SUM(R17+Y17)</f>
        <v>14301380.312400471</v>
      </c>
      <c r="AA17" s="84">
        <f t="shared" ref="AA17:AA22" si="3">+Z17+R17</f>
        <v>20764028.312400471</v>
      </c>
      <c r="AB17" s="132"/>
      <c r="AC17" s="132">
        <f>+T17*4</f>
        <v>25788708</v>
      </c>
      <c r="AD17" s="132">
        <f>+V17*4</f>
        <v>438724.08960188495</v>
      </c>
      <c r="AE17" s="132" t="e">
        <f>+#REF!*4</f>
        <v>#REF!</v>
      </c>
      <c r="AF17" s="132" t="e">
        <f>+#REF!*45</f>
        <v>#REF!</v>
      </c>
      <c r="AG17" s="132" t="e">
        <f>+#REF!*495</f>
        <v>#REF!</v>
      </c>
      <c r="AH17" s="132" t="e">
        <f>+#REF!*3</f>
        <v>#REF!</v>
      </c>
      <c r="AI17" s="132" t="e">
        <f>+#REF!*35</f>
        <v>#REF!</v>
      </c>
    </row>
    <row r="18" spans="1:35" ht="147.75" customHeight="1">
      <c r="A18" s="89">
        <v>2</v>
      </c>
      <c r="B18" s="256" t="s">
        <v>85</v>
      </c>
      <c r="C18" s="256"/>
      <c r="D18" s="31">
        <v>0.1</v>
      </c>
      <c r="E18" s="79">
        <f>+D15*D18</f>
        <v>726820.8</v>
      </c>
      <c r="F18" s="31">
        <f t="shared" ref="F18:F22" si="4">(100/6)/100</f>
        <v>0.16666666666666669</v>
      </c>
      <c r="G18" s="80">
        <f>+F15*F18</f>
        <v>1211368.0000000002</v>
      </c>
      <c r="H18" s="31">
        <v>0.05</v>
      </c>
      <c r="I18" s="80">
        <f>+H15*H18</f>
        <v>136278.9</v>
      </c>
      <c r="J18" s="31">
        <f t="shared" ref="J18:N22" si="5">(60/6)/100</f>
        <v>0.1</v>
      </c>
      <c r="K18" s="80">
        <f>+J18*J15</f>
        <v>272557.8</v>
      </c>
      <c r="L18" s="31">
        <f t="shared" si="5"/>
        <v>0.1</v>
      </c>
      <c r="M18" s="80">
        <f>+L18*L15</f>
        <v>136278.9</v>
      </c>
      <c r="N18" s="31">
        <f t="shared" si="5"/>
        <v>0.1</v>
      </c>
      <c r="O18" s="80">
        <f>+N18*N15</f>
        <v>181705.2</v>
      </c>
      <c r="P18" s="81">
        <f t="shared" si="0"/>
        <v>2665009.6</v>
      </c>
      <c r="Q18" s="33">
        <f>+PRESUPUESTO!F7</f>
        <v>2.2000000000000002</v>
      </c>
      <c r="R18" s="82">
        <f>ROUND(Q18*P18,0)</f>
        <v>5863021</v>
      </c>
      <c r="S18" s="83"/>
      <c r="T18" s="81"/>
      <c r="U18" s="34">
        <f t="shared" ref="U18:U22" si="6">(100/6)/100</f>
        <v>0.16666666666666669</v>
      </c>
      <c r="V18" s="81">
        <f>V15*U18</f>
        <v>109681.02240047124</v>
      </c>
      <c r="W18" s="34">
        <v>0.15</v>
      </c>
      <c r="X18" s="81">
        <f>X15*W18</f>
        <v>1131065.55</v>
      </c>
      <c r="Y18" s="82">
        <f t="shared" si="1"/>
        <v>1240746.5724004712</v>
      </c>
      <c r="Z18" s="82">
        <f t="shared" si="2"/>
        <v>7103767.5724004712</v>
      </c>
      <c r="AA18" s="84">
        <f t="shared" si="3"/>
        <v>12966788.572400471</v>
      </c>
      <c r="AB18" s="132"/>
    </row>
    <row r="19" spans="1:35" ht="75.95" customHeight="1">
      <c r="A19" s="89">
        <v>3</v>
      </c>
      <c r="B19" s="256" t="s">
        <v>87</v>
      </c>
      <c r="C19" s="256"/>
      <c r="D19" s="31">
        <v>0.1</v>
      </c>
      <c r="E19" s="80">
        <f>+D15*D19</f>
        <v>726820.8</v>
      </c>
      <c r="F19" s="31">
        <f t="shared" si="4"/>
        <v>0.16666666666666669</v>
      </c>
      <c r="G19" s="79">
        <f>+F19*F15</f>
        <v>1211368.0000000002</v>
      </c>
      <c r="H19" s="31">
        <v>0.05</v>
      </c>
      <c r="I19" s="79">
        <f>+H19*H15</f>
        <v>136278.9</v>
      </c>
      <c r="J19" s="31">
        <v>0.05</v>
      </c>
      <c r="K19" s="80">
        <f>J15*J19</f>
        <v>136278.9</v>
      </c>
      <c r="L19" s="31">
        <v>0.05</v>
      </c>
      <c r="M19" s="80">
        <f>L15*L19</f>
        <v>68139.45</v>
      </c>
      <c r="N19" s="31">
        <f t="shared" si="5"/>
        <v>0.1</v>
      </c>
      <c r="O19" s="80">
        <f>N15*N19</f>
        <v>181705.2</v>
      </c>
      <c r="P19" s="81">
        <f t="shared" si="0"/>
        <v>2460591.2500000005</v>
      </c>
      <c r="Q19" s="33">
        <f>+PRESUPUESTO!F7</f>
        <v>2.2000000000000002</v>
      </c>
      <c r="R19" s="82">
        <f t="shared" ref="R19:R22" si="7">ROUND(Q19*P19,0)</f>
        <v>5413301</v>
      </c>
      <c r="S19" s="83"/>
      <c r="T19" s="81"/>
      <c r="U19" s="34">
        <f t="shared" si="6"/>
        <v>0.16666666666666669</v>
      </c>
      <c r="V19" s="81">
        <f>V15*U19</f>
        <v>109681.02240047124</v>
      </c>
      <c r="W19" s="34">
        <v>0.13</v>
      </c>
      <c r="X19" s="81">
        <f>X15*W19</f>
        <v>980256.81</v>
      </c>
      <c r="Y19" s="82">
        <f t="shared" si="1"/>
        <v>1089937.8324004712</v>
      </c>
      <c r="Z19" s="82">
        <f t="shared" si="2"/>
        <v>6503238.832400471</v>
      </c>
      <c r="AA19" s="84">
        <f t="shared" si="3"/>
        <v>11916539.832400471</v>
      </c>
      <c r="AB19" s="132"/>
    </row>
    <row r="20" spans="1:35" ht="63" customHeight="1">
      <c r="A20" s="89">
        <v>4</v>
      </c>
      <c r="B20" s="256" t="s">
        <v>86</v>
      </c>
      <c r="C20" s="256"/>
      <c r="D20" s="31">
        <v>0.1</v>
      </c>
      <c r="E20" s="79">
        <f>+D15*D20</f>
        <v>726820.8</v>
      </c>
      <c r="F20" s="31">
        <f t="shared" si="4"/>
        <v>0.16666666666666669</v>
      </c>
      <c r="G20" s="80">
        <f>+F15*F20</f>
        <v>1211368.0000000002</v>
      </c>
      <c r="H20" s="31">
        <v>0.05</v>
      </c>
      <c r="I20" s="80">
        <f>+H15*H20</f>
        <v>136278.9</v>
      </c>
      <c r="J20" s="31">
        <v>0.05</v>
      </c>
      <c r="K20" s="80">
        <f>+J20*J15</f>
        <v>136278.9</v>
      </c>
      <c r="L20" s="31">
        <v>0.05</v>
      </c>
      <c r="M20" s="80">
        <f>+L20*L15</f>
        <v>68139.45</v>
      </c>
      <c r="N20" s="31">
        <f t="shared" si="5"/>
        <v>0.1</v>
      </c>
      <c r="O20" s="80">
        <f>+N20*N15</f>
        <v>181705.2</v>
      </c>
      <c r="P20" s="81">
        <f t="shared" si="0"/>
        <v>2460591.2500000005</v>
      </c>
      <c r="Q20" s="33">
        <f>+PRESUPUESTO!F7</f>
        <v>2.2000000000000002</v>
      </c>
      <c r="R20" s="82">
        <f t="shared" si="7"/>
        <v>5413301</v>
      </c>
      <c r="S20" s="83"/>
      <c r="T20" s="81"/>
      <c r="U20" s="34">
        <f t="shared" si="6"/>
        <v>0.16666666666666669</v>
      </c>
      <c r="V20" s="81">
        <f>V15*U20</f>
        <v>109681.02240047124</v>
      </c>
      <c r="W20" s="34">
        <v>0.1</v>
      </c>
      <c r="X20" s="81">
        <f>X15*W20</f>
        <v>754043.70000000007</v>
      </c>
      <c r="Y20" s="82">
        <f t="shared" si="1"/>
        <v>863724.72240047134</v>
      </c>
      <c r="Z20" s="82">
        <f t="shared" si="2"/>
        <v>6277025.7224004716</v>
      </c>
      <c r="AA20" s="84">
        <f t="shared" si="3"/>
        <v>11690326.722400472</v>
      </c>
      <c r="AB20" s="132"/>
    </row>
    <row r="21" spans="1:35" ht="51" customHeight="1">
      <c r="A21" s="89">
        <v>5</v>
      </c>
      <c r="B21" s="256" t="s">
        <v>84</v>
      </c>
      <c r="C21" s="256"/>
      <c r="D21" s="31">
        <v>0.05</v>
      </c>
      <c r="E21" s="79">
        <f>+D15*D21</f>
        <v>363410.4</v>
      </c>
      <c r="F21" s="31">
        <f t="shared" si="4"/>
        <v>0.16666666666666669</v>
      </c>
      <c r="G21" s="80">
        <f>+F15*F21</f>
        <v>1211368.0000000002</v>
      </c>
      <c r="H21" s="31">
        <v>0.05</v>
      </c>
      <c r="I21" s="80">
        <f>+H15*H21</f>
        <v>136278.9</v>
      </c>
      <c r="J21" s="31">
        <v>0.05</v>
      </c>
      <c r="K21" s="80">
        <f>+J21*J15</f>
        <v>136278.9</v>
      </c>
      <c r="L21" s="31">
        <f t="shared" si="5"/>
        <v>0.1</v>
      </c>
      <c r="M21" s="80">
        <f>+L21*L15</f>
        <v>136278.9</v>
      </c>
      <c r="N21" s="31">
        <f t="shared" si="5"/>
        <v>0.1</v>
      </c>
      <c r="O21" s="80">
        <f>+N21*N15</f>
        <v>181705.2</v>
      </c>
      <c r="P21" s="81">
        <f t="shared" si="0"/>
        <v>2165320.3000000003</v>
      </c>
      <c r="Q21" s="33">
        <f>+PRESUPUESTO!F7</f>
        <v>2.2000000000000002</v>
      </c>
      <c r="R21" s="82">
        <f t="shared" si="7"/>
        <v>4763705</v>
      </c>
      <c r="S21" s="83"/>
      <c r="T21" s="81"/>
      <c r="U21" s="34">
        <f t="shared" si="6"/>
        <v>0.16666666666666669</v>
      </c>
      <c r="V21" s="81">
        <f>V15*U21</f>
        <v>109681.02240047124</v>
      </c>
      <c r="W21" s="34">
        <v>0.1</v>
      </c>
      <c r="X21" s="81">
        <f>X15*W21</f>
        <v>754043.70000000007</v>
      </c>
      <c r="Y21" s="82">
        <f t="shared" si="1"/>
        <v>863724.72240047134</v>
      </c>
      <c r="Z21" s="82">
        <f t="shared" si="2"/>
        <v>5627429.7224004716</v>
      </c>
      <c r="AA21" s="84">
        <f t="shared" si="3"/>
        <v>10391134.722400472</v>
      </c>
      <c r="AB21" s="132"/>
    </row>
    <row r="22" spans="1:35" ht="54.95" customHeight="1">
      <c r="A22" s="89">
        <v>6</v>
      </c>
      <c r="B22" s="256" t="s">
        <v>88</v>
      </c>
      <c r="C22" s="256"/>
      <c r="D22" s="31">
        <v>0.05</v>
      </c>
      <c r="E22" s="80">
        <f>+D15*D22</f>
        <v>363410.4</v>
      </c>
      <c r="F22" s="31">
        <f t="shared" si="4"/>
        <v>0.16666666666666669</v>
      </c>
      <c r="G22" s="79">
        <f>+F22*F15</f>
        <v>1211368.0000000002</v>
      </c>
      <c r="H22" s="31">
        <v>0.05</v>
      </c>
      <c r="I22" s="79">
        <f>+H22*H15</f>
        <v>136278.9</v>
      </c>
      <c r="J22" s="31">
        <v>0.05</v>
      </c>
      <c r="K22" s="80">
        <f>+J22*J15</f>
        <v>136278.9</v>
      </c>
      <c r="L22" s="31">
        <f t="shared" si="5"/>
        <v>0.1</v>
      </c>
      <c r="M22" s="80">
        <f>+L22*L15</f>
        <v>136278.9</v>
      </c>
      <c r="N22" s="31">
        <v>0.05</v>
      </c>
      <c r="O22" s="80">
        <f>+N22*N15</f>
        <v>90852.6</v>
      </c>
      <c r="P22" s="81">
        <f t="shared" si="0"/>
        <v>2074467.7000000002</v>
      </c>
      <c r="Q22" s="33">
        <f>+PRESUPUESTO!F7</f>
        <v>2.2000000000000002</v>
      </c>
      <c r="R22" s="82">
        <f t="shared" si="7"/>
        <v>4563829</v>
      </c>
      <c r="S22" s="83"/>
      <c r="T22" s="81"/>
      <c r="U22" s="34">
        <f t="shared" si="6"/>
        <v>0.16666666666666669</v>
      </c>
      <c r="V22" s="81">
        <f>V15*U22</f>
        <v>109681.02240047124</v>
      </c>
      <c r="W22" s="34">
        <v>0.1</v>
      </c>
      <c r="X22" s="81">
        <f>X15*W22</f>
        <v>754043.70000000007</v>
      </c>
      <c r="Y22" s="82">
        <f t="shared" si="1"/>
        <v>863724.72240047134</v>
      </c>
      <c r="Z22" s="82">
        <f t="shared" si="2"/>
        <v>5427553.7224004716</v>
      </c>
      <c r="AA22" s="84">
        <f t="shared" si="3"/>
        <v>9991382.7224004716</v>
      </c>
      <c r="AB22" s="132"/>
    </row>
    <row r="23" spans="1:35" ht="56.25" customHeight="1">
      <c r="A23" s="242"/>
      <c r="B23" s="257" t="s">
        <v>45</v>
      </c>
      <c r="C23" s="257"/>
      <c r="D23" s="31">
        <f t="shared" ref="D23:I23" si="8">SUM(D17:D22)</f>
        <v>0.5</v>
      </c>
      <c r="E23" s="79">
        <f t="shared" si="8"/>
        <v>3634104</v>
      </c>
      <c r="F23" s="31">
        <f t="shared" si="8"/>
        <v>1.0000000000000002</v>
      </c>
      <c r="G23" s="79">
        <f t="shared" si="8"/>
        <v>7268208.0000000009</v>
      </c>
      <c r="H23" s="31">
        <f t="shared" si="8"/>
        <v>0.3</v>
      </c>
      <c r="I23" s="79">
        <f t="shared" si="8"/>
        <v>817673.4</v>
      </c>
      <c r="J23" s="31">
        <f t="shared" ref="J23:O23" si="9">+SUM(J17:J22)</f>
        <v>0.39999999999999997</v>
      </c>
      <c r="K23" s="80">
        <f t="shared" si="9"/>
        <v>1090231.2</v>
      </c>
      <c r="L23" s="31">
        <f t="shared" si="9"/>
        <v>0.5</v>
      </c>
      <c r="M23" s="80">
        <f t="shared" si="9"/>
        <v>681394.5</v>
      </c>
      <c r="N23" s="31">
        <f t="shared" si="9"/>
        <v>0.7</v>
      </c>
      <c r="O23" s="80">
        <f t="shared" si="9"/>
        <v>1271936.3999999999</v>
      </c>
      <c r="P23" s="81">
        <f t="shared" si="0"/>
        <v>14763547.5</v>
      </c>
      <c r="Q23" s="33">
        <f>+PRESUPUESTO!F7</f>
        <v>2.2000000000000002</v>
      </c>
      <c r="R23" s="82">
        <f>ROUND(Q23*P23,0)</f>
        <v>32479805</v>
      </c>
      <c r="S23" s="83"/>
      <c r="T23" s="81"/>
      <c r="U23" s="35">
        <f>+SUM(U17:U22)</f>
        <v>1.0000000000000002</v>
      </c>
      <c r="V23" s="36">
        <f>ROUND(SUM(V17:V22),0)</f>
        <v>658086</v>
      </c>
      <c r="W23" s="35">
        <f>SUM(W17:W22)</f>
        <v>0.75</v>
      </c>
      <c r="X23" s="36">
        <f>ROUND(SUM(X17:X22),0)</f>
        <v>5655328</v>
      </c>
      <c r="Y23" s="82">
        <f t="shared" si="1"/>
        <v>6313414</v>
      </c>
      <c r="Z23" s="82">
        <f t="shared" si="2"/>
        <v>38793219</v>
      </c>
      <c r="AA23" s="84">
        <f>+SUM(AA17:AA22)</f>
        <v>77720200.884402826</v>
      </c>
      <c r="AB23" s="132">
        <f>+SUM(AB17:AB22)</f>
        <v>0</v>
      </c>
    </row>
    <row r="24" spans="1:35" ht="28.5" customHeight="1">
      <c r="A24" s="242"/>
      <c r="B24" s="258" t="s">
        <v>51</v>
      </c>
      <c r="C24" s="258"/>
      <c r="D24" s="32">
        <f>D13</f>
        <v>2</v>
      </c>
      <c r="E24" s="173">
        <f>+E23*D24</f>
        <v>7268208</v>
      </c>
      <c r="F24" s="32">
        <f>F13</f>
        <v>2</v>
      </c>
      <c r="G24" s="80">
        <f>+G23*F24</f>
        <v>14536416.000000002</v>
      </c>
      <c r="H24" s="32">
        <f>H13</f>
        <v>2</v>
      </c>
      <c r="I24" s="173">
        <f>+I23*H24</f>
        <v>1635346.8</v>
      </c>
      <c r="J24" s="32">
        <f>J13</f>
        <v>2</v>
      </c>
      <c r="K24" s="80">
        <f>+K23*J24</f>
        <v>2180462.4</v>
      </c>
      <c r="L24" s="32">
        <f>L13</f>
        <v>2</v>
      </c>
      <c r="M24" s="80">
        <f>+M23*L24</f>
        <v>1362789</v>
      </c>
      <c r="N24" s="32">
        <f>N13</f>
        <v>2</v>
      </c>
      <c r="O24" s="80">
        <f>+O23*N24</f>
        <v>2543872.7999999998</v>
      </c>
      <c r="P24" s="81">
        <f t="shared" si="0"/>
        <v>29527095</v>
      </c>
      <c r="Q24" s="33">
        <f>+PRESUPUESTO!F7</f>
        <v>2.2000000000000002</v>
      </c>
      <c r="R24" s="174">
        <f>ROUND(Q24*P24,0)</f>
        <v>64959609</v>
      </c>
      <c r="S24" s="37">
        <v>2</v>
      </c>
      <c r="T24" s="81">
        <f>SUM(T17:T23)</f>
        <v>6447177</v>
      </c>
      <c r="U24" s="38">
        <v>2</v>
      </c>
      <c r="V24" s="176">
        <f>PRESUPUESTO!I26</f>
        <v>1316172.2688056547</v>
      </c>
      <c r="W24" s="38">
        <v>2</v>
      </c>
      <c r="X24" s="72">
        <f>+X23*W24</f>
        <v>11310656</v>
      </c>
      <c r="Y24" s="82">
        <f>SUM(ROUND((T24+V24+X24),0))</f>
        <v>19074005</v>
      </c>
      <c r="Z24" s="82">
        <f t="shared" si="2"/>
        <v>84033614</v>
      </c>
      <c r="AB24" s="132">
        <f>+R24</f>
        <v>64959609</v>
      </c>
    </row>
    <row r="25" spans="1:35" ht="26.25">
      <c r="A25" s="242"/>
      <c r="B25" s="255" t="s">
        <v>40</v>
      </c>
      <c r="C25" s="159" t="s">
        <v>38</v>
      </c>
      <c r="D25" s="39">
        <v>0.9</v>
      </c>
      <c r="E25" s="40"/>
      <c r="F25" s="160">
        <v>0.5</v>
      </c>
      <c r="G25" s="43"/>
      <c r="H25" s="160">
        <v>0.5</v>
      </c>
      <c r="I25" s="43"/>
      <c r="J25" s="34">
        <v>0.75</v>
      </c>
      <c r="K25" s="43"/>
      <c r="L25" s="34">
        <v>0.75</v>
      </c>
      <c r="M25" s="43"/>
      <c r="N25" s="34">
        <v>0.75</v>
      </c>
      <c r="O25" s="43"/>
      <c r="P25" s="41"/>
      <c r="Q25" s="41"/>
      <c r="R25" s="127"/>
      <c r="S25" s="126">
        <f>S23/S24</f>
        <v>0</v>
      </c>
      <c r="T25" s="42"/>
      <c r="U25" s="34">
        <f>+U23/U24</f>
        <v>0.50000000000000011</v>
      </c>
      <c r="V25" s="43"/>
      <c r="W25" s="34">
        <f>W23/W24</f>
        <v>0.375</v>
      </c>
      <c r="X25" s="43"/>
      <c r="Y25" s="129"/>
      <c r="Z25" s="129">
        <f>+ROUND(Z24,0)</f>
        <v>84033614</v>
      </c>
      <c r="AA25" s="44"/>
      <c r="AB25" s="132">
        <f>+AB23+AB24</f>
        <v>64959609</v>
      </c>
    </row>
    <row r="26" spans="1:35" ht="26.25">
      <c r="A26" s="242"/>
      <c r="B26" s="255"/>
      <c r="C26" s="159" t="s">
        <v>41</v>
      </c>
      <c r="D26" s="45">
        <v>1</v>
      </c>
      <c r="E26" s="46"/>
      <c r="F26" s="45">
        <v>1</v>
      </c>
      <c r="G26" s="49"/>
      <c r="H26" s="45">
        <v>1</v>
      </c>
      <c r="I26" s="49"/>
      <c r="J26" s="45">
        <v>1</v>
      </c>
      <c r="K26" s="49"/>
      <c r="L26" s="45">
        <v>1</v>
      </c>
      <c r="M26" s="49"/>
      <c r="N26" s="45">
        <v>1</v>
      </c>
      <c r="O26" s="49"/>
      <c r="P26" s="47"/>
      <c r="Q26" s="47"/>
      <c r="R26" s="127" t="s">
        <v>41</v>
      </c>
      <c r="S26" s="45">
        <v>1</v>
      </c>
      <c r="T26" s="49"/>
      <c r="U26" s="45">
        <v>1</v>
      </c>
      <c r="V26" s="49"/>
      <c r="W26" s="45">
        <v>1</v>
      </c>
      <c r="X26" s="49"/>
      <c r="Y26" s="130" t="s">
        <v>28</v>
      </c>
      <c r="Z26" s="130">
        <f>+Z25*0.19</f>
        <v>15966386.66</v>
      </c>
      <c r="AA26" s="50"/>
      <c r="AB26" s="132">
        <f>+AB25*0.19</f>
        <v>12342325.710000001</v>
      </c>
    </row>
    <row r="27" spans="1:35" ht="26.25">
      <c r="A27" s="90"/>
      <c r="B27" s="74"/>
      <c r="C27" s="75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7"/>
      <c r="Q27" s="47"/>
      <c r="R27" s="48"/>
      <c r="S27" s="76"/>
      <c r="T27" s="49"/>
      <c r="U27" s="49"/>
      <c r="V27" s="49"/>
      <c r="W27" s="49"/>
      <c r="X27" s="49"/>
      <c r="Y27" s="130" t="s">
        <v>105</v>
      </c>
      <c r="Z27" s="82">
        <f>SUM(ROUND((Z26+Z24),0))-1</f>
        <v>100000000</v>
      </c>
      <c r="AA27" s="50"/>
      <c r="AB27" s="132">
        <f>+AB26+AB25</f>
        <v>77301934.710000008</v>
      </c>
    </row>
    <row r="28" spans="1:35" ht="26.25">
      <c r="A28" s="90"/>
      <c r="B28" s="74"/>
      <c r="C28" s="75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7"/>
      <c r="Q28" s="47"/>
      <c r="R28" s="48"/>
      <c r="S28" s="76"/>
      <c r="T28" s="49"/>
      <c r="U28" s="49"/>
      <c r="V28" s="49"/>
      <c r="W28" s="49"/>
      <c r="X28" s="49"/>
      <c r="Y28" s="73"/>
      <c r="Z28" s="73"/>
      <c r="AA28" s="50"/>
    </row>
    <row r="29" spans="1:35" ht="14.25">
      <c r="A29" s="9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R29" s="54"/>
      <c r="S29" s="51"/>
      <c r="T29" s="52"/>
      <c r="V29" s="52"/>
      <c r="W29" s="55"/>
      <c r="X29" s="52"/>
      <c r="Y29" s="128"/>
      <c r="Z29" s="128"/>
      <c r="AA29" s="55"/>
      <c r="AB29" s="55"/>
    </row>
    <row r="30" spans="1:35" ht="18">
      <c r="A30" s="91"/>
      <c r="B30" s="55"/>
      <c r="C30" s="55"/>
      <c r="D30" s="55"/>
      <c r="E30" s="131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6"/>
      <c r="Q30" s="56"/>
      <c r="R30" s="57"/>
      <c r="S30" s="58"/>
      <c r="T30" s="55"/>
      <c r="V30"/>
      <c r="X30"/>
      <c r="Y30"/>
      <c r="Z30"/>
      <c r="AA30" s="59"/>
      <c r="AB30" s="59"/>
    </row>
    <row r="31" spans="1:35" ht="23.25">
      <c r="A31" s="91"/>
      <c r="B31" s="60"/>
      <c r="C31" s="60"/>
      <c r="D31" s="261" t="s">
        <v>108</v>
      </c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61"/>
      <c r="Q31" s="61"/>
      <c r="R31" s="62"/>
      <c r="S31" s="63"/>
      <c r="T31" s="55"/>
      <c r="U31" s="60"/>
      <c r="V31" s="148" t="s">
        <v>78</v>
      </c>
      <c r="W31" s="60"/>
      <c r="X31" s="52"/>
      <c r="Y31" s="60"/>
      <c r="Z31" s="60"/>
      <c r="AA31" s="64"/>
      <c r="AB31" s="64"/>
    </row>
    <row r="32" spans="1:35" ht="23.25">
      <c r="A32" s="92"/>
      <c r="B32" s="93"/>
      <c r="C32" s="93"/>
      <c r="D32" s="262" t="s">
        <v>50</v>
      </c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94"/>
      <c r="Q32" s="94"/>
      <c r="R32" s="95"/>
      <c r="S32" s="96"/>
      <c r="T32" s="97"/>
      <c r="U32" s="93"/>
      <c r="V32" s="98" t="s">
        <v>64</v>
      </c>
      <c r="W32" s="93"/>
      <c r="X32" s="98"/>
      <c r="Y32" s="99"/>
      <c r="Z32" s="99"/>
    </row>
    <row r="45" spans="3:3" ht="21">
      <c r="C45" s="45">
        <v>1</v>
      </c>
    </row>
  </sheetData>
  <protectedRanges>
    <protectedRange algorithmName="SHA-512" hashValue="wgTuNiTFdwqVE3Wdv/Ve1loWXD4TEVIFGuxcCgwiQs13Bkl3NShMdVkaKBT9jQP5p/SYoOYsfNUyYofrmHmwRw==" saltValue="G4OGwyDGpjz1/CF8ziuoug==" spinCount="100000" sqref="V14 AA29:AB31 A7:C13 A6:B6 H9 D6:E13 A14:E23 U23:U28 N9 I18:I23 H12:H15 N12:N15 P14:U17 C45 V23:V29 Q23:T23 Q18:V22 W14:W29 X14 N18:P23 N24:T32 X18:X29 F9 G18:G23 F12:F15 A24:I32 L9 L12:L15 J9 J12:J15 F6:O8 F10:O11 J18:M32 F17:F23 H17:H23 J17 L17 N17 F16:O16 P6:X13 U31:Z32 Y6:Z29" name="AREA DE TRABAJO"/>
  </protectedRanges>
  <mergeCells count="58">
    <mergeCell ref="J12:K12"/>
    <mergeCell ref="J13:K13"/>
    <mergeCell ref="J14:K14"/>
    <mergeCell ref="J15:K15"/>
    <mergeCell ref="Y9:Y14"/>
    <mergeCell ref="Z9:Z14"/>
    <mergeCell ref="S8:Z8"/>
    <mergeCell ref="S9:T11"/>
    <mergeCell ref="U9:V11"/>
    <mergeCell ref="W9:X11"/>
    <mergeCell ref="D8:R8"/>
    <mergeCell ref="P9:R11"/>
    <mergeCell ref="H15:I15"/>
    <mergeCell ref="H9:I11"/>
    <mergeCell ref="H12:I12"/>
    <mergeCell ref="H13:I13"/>
    <mergeCell ref="H14:I14"/>
    <mergeCell ref="F9:G11"/>
    <mergeCell ref="F12:G12"/>
    <mergeCell ref="F13:G13"/>
    <mergeCell ref="F14:G14"/>
    <mergeCell ref="F15:G15"/>
    <mergeCell ref="L9:M11"/>
    <mergeCell ref="L12:M12"/>
    <mergeCell ref="L13:M13"/>
    <mergeCell ref="L14:M14"/>
    <mergeCell ref="A1:Z5"/>
    <mergeCell ref="D31:O31"/>
    <mergeCell ref="D32:O32"/>
    <mergeCell ref="B20:C20"/>
    <mergeCell ref="D13:E13"/>
    <mergeCell ref="D14:E14"/>
    <mergeCell ref="D15:E15"/>
    <mergeCell ref="A6:Z6"/>
    <mergeCell ref="A7:B7"/>
    <mergeCell ref="C7:Z7"/>
    <mergeCell ref="A8:A15"/>
    <mergeCell ref="B8:C8"/>
    <mergeCell ref="B17:C17"/>
    <mergeCell ref="B18:C18"/>
    <mergeCell ref="B11:C15"/>
    <mergeCell ref="B22:C22"/>
    <mergeCell ref="A23:A26"/>
    <mergeCell ref="N9:O11"/>
    <mergeCell ref="N12:O12"/>
    <mergeCell ref="N13:O13"/>
    <mergeCell ref="N14:O14"/>
    <mergeCell ref="N15:O15"/>
    <mergeCell ref="B25:B26"/>
    <mergeCell ref="B21:C21"/>
    <mergeCell ref="B23:C23"/>
    <mergeCell ref="B24:C24"/>
    <mergeCell ref="B9:C10"/>
    <mergeCell ref="D9:E11"/>
    <mergeCell ref="D12:E12"/>
    <mergeCell ref="B19:C19"/>
    <mergeCell ref="L15:M15"/>
    <mergeCell ref="J9:K11"/>
  </mergeCells>
  <printOptions horizontalCentered="1" verticalCentered="1"/>
  <pageMargins left="0.15748031496062992" right="0.15748031496062992" top="0.35433070866141736" bottom="0.15748031496062992" header="0.31496062992125984" footer="0.19685039370078741"/>
  <pageSetup scale="34" orientation="landscape" r:id="rId1"/>
  <colBreaks count="1" manualBreakCount="1">
    <brk id="15" max="4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15"/>
  <sheetViews>
    <sheetView view="pageBreakPreview" zoomScale="60" workbookViewId="0">
      <selection activeCell="D14" sqref="D14"/>
    </sheetView>
  </sheetViews>
  <sheetFormatPr baseColWidth="10" defaultColWidth="11.42578125" defaultRowHeight="14.25"/>
  <cols>
    <col min="1" max="1" width="11.42578125" style="122"/>
    <col min="2" max="2" width="23" style="122" customWidth="1"/>
    <col min="3" max="3" width="25.7109375" style="122" customWidth="1"/>
    <col min="4" max="4" width="26.140625" style="122" customWidth="1"/>
    <col min="5" max="5" width="87.42578125" style="122" customWidth="1"/>
    <col min="6" max="6" width="12" style="122" bestFit="1" customWidth="1"/>
    <col min="7" max="16384" width="11.42578125" style="122"/>
  </cols>
  <sheetData>
    <row r="1" spans="1:13" s="1" customFormat="1" ht="21.75" customHeight="1">
      <c r="A1" s="285" t="s">
        <v>25</v>
      </c>
      <c r="B1" s="285"/>
      <c r="C1" s="285"/>
      <c r="D1" s="285"/>
      <c r="E1" s="285"/>
      <c r="F1" s="285"/>
      <c r="G1" s="137"/>
      <c r="H1" s="137"/>
      <c r="I1" s="137"/>
      <c r="J1" s="137"/>
      <c r="K1" s="138"/>
    </row>
    <row r="2" spans="1:13" s="1" customFormat="1" ht="24.75" customHeight="1">
      <c r="A2" s="285"/>
      <c r="B2" s="285"/>
      <c r="C2" s="285"/>
      <c r="D2" s="285"/>
      <c r="E2" s="285"/>
      <c r="F2" s="285"/>
      <c r="G2" s="68"/>
      <c r="H2" s="68"/>
      <c r="I2" s="68"/>
      <c r="J2" s="68"/>
      <c r="K2" s="139"/>
    </row>
    <row r="3" spans="1:13" s="1" customFormat="1" ht="24.75" customHeight="1">
      <c r="A3" s="285"/>
      <c r="B3" s="285"/>
      <c r="C3" s="285"/>
      <c r="D3" s="285"/>
      <c r="E3" s="285"/>
      <c r="F3" s="285"/>
      <c r="G3" s="68"/>
      <c r="H3" s="68"/>
      <c r="I3" s="68"/>
      <c r="J3" s="68"/>
      <c r="K3" s="139"/>
    </row>
    <row r="4" spans="1:13" s="1" customFormat="1" ht="24.75" customHeight="1">
      <c r="A4" s="285"/>
      <c r="B4" s="285"/>
      <c r="C4" s="285"/>
      <c r="D4" s="285"/>
      <c r="E4" s="285"/>
      <c r="F4" s="285"/>
      <c r="G4" s="68"/>
      <c r="H4" s="68"/>
      <c r="I4" s="68"/>
      <c r="J4" s="68"/>
      <c r="K4" s="139"/>
    </row>
    <row r="5" spans="1:13" s="1" customFormat="1" ht="24.75" customHeight="1" thickBot="1">
      <c r="A5" s="285"/>
      <c r="B5" s="285"/>
      <c r="C5" s="285"/>
      <c r="D5" s="285"/>
      <c r="E5" s="285"/>
      <c r="F5" s="285"/>
      <c r="G5" s="140"/>
      <c r="H5" s="140"/>
      <c r="I5" s="140"/>
      <c r="J5" s="140"/>
      <c r="K5" s="141"/>
    </row>
    <row r="6" spans="1:13" s="9" customFormat="1" ht="81.75" customHeight="1" thickBot="1">
      <c r="A6" s="286" t="s">
        <v>77</v>
      </c>
      <c r="B6" s="286"/>
      <c r="C6" s="286"/>
      <c r="D6" s="286"/>
      <c r="E6" s="286"/>
      <c r="F6" s="286"/>
      <c r="G6" s="142"/>
      <c r="H6" s="142"/>
      <c r="I6" s="142"/>
      <c r="J6" s="142"/>
      <c r="K6" s="143"/>
      <c r="L6" s="9">
        <v>10.25</v>
      </c>
      <c r="M6" s="9">
        <v>100</v>
      </c>
    </row>
    <row r="7" spans="1:13" ht="24">
      <c r="A7" s="144" t="s">
        <v>67</v>
      </c>
      <c r="B7" s="145" t="s">
        <v>68</v>
      </c>
      <c r="C7" s="146" t="s">
        <v>69</v>
      </c>
      <c r="D7" s="146" t="s">
        <v>70</v>
      </c>
      <c r="E7" s="146" t="s">
        <v>71</v>
      </c>
      <c r="F7" s="147" t="s">
        <v>35</v>
      </c>
    </row>
    <row r="8" spans="1:13">
      <c r="A8" s="287">
        <v>1</v>
      </c>
      <c r="B8" s="288"/>
      <c r="C8" s="289"/>
      <c r="D8" s="289"/>
      <c r="E8" s="123"/>
      <c r="F8" s="290">
        <v>1</v>
      </c>
    </row>
    <row r="9" spans="1:13" ht="59.25" customHeight="1">
      <c r="A9" s="287"/>
      <c r="B9" s="288"/>
      <c r="C9" s="289"/>
      <c r="D9" s="289"/>
      <c r="E9" s="123"/>
      <c r="F9" s="290"/>
    </row>
    <row r="10" spans="1:13">
      <c r="A10" s="287">
        <v>2</v>
      </c>
      <c r="B10" s="288"/>
      <c r="C10" s="289"/>
      <c r="D10" s="289"/>
      <c r="E10" s="123"/>
      <c r="F10" s="290">
        <v>1</v>
      </c>
    </row>
    <row r="11" spans="1:13">
      <c r="A11" s="287"/>
      <c r="B11" s="288"/>
      <c r="C11" s="289"/>
      <c r="D11" s="289"/>
      <c r="E11" s="123"/>
      <c r="F11" s="290">
        <v>1</v>
      </c>
    </row>
    <row r="12" spans="1:13">
      <c r="A12" s="287">
        <v>3</v>
      </c>
      <c r="B12" s="291"/>
      <c r="C12" s="289"/>
      <c r="D12" s="289"/>
      <c r="E12" s="123"/>
      <c r="F12" s="290">
        <v>1</v>
      </c>
    </row>
    <row r="13" spans="1:13" ht="15">
      <c r="A13" s="287"/>
      <c r="B13" s="291"/>
      <c r="C13" s="289"/>
      <c r="D13" s="289"/>
      <c r="E13" s="124"/>
      <c r="F13" s="290">
        <v>1</v>
      </c>
    </row>
    <row r="14" spans="1:13">
      <c r="A14" s="125"/>
      <c r="C14" s="125"/>
      <c r="D14" s="125"/>
      <c r="E14" s="125"/>
    </row>
    <row r="15" spans="1:13">
      <c r="A15" s="125"/>
      <c r="C15" s="125"/>
      <c r="D15" s="125"/>
      <c r="E15" s="125"/>
    </row>
  </sheetData>
  <mergeCells count="17">
    <mergeCell ref="A12:A13"/>
    <mergeCell ref="B12:B13"/>
    <mergeCell ref="C12:C13"/>
    <mergeCell ref="D12:D13"/>
    <mergeCell ref="F12:F13"/>
    <mergeCell ref="A1:F5"/>
    <mergeCell ref="A6:F6"/>
    <mergeCell ref="A10:A11"/>
    <mergeCell ref="B10:B11"/>
    <mergeCell ref="C10:C11"/>
    <mergeCell ref="D10:D11"/>
    <mergeCell ref="F10:F11"/>
    <mergeCell ref="A8:A9"/>
    <mergeCell ref="B8:B9"/>
    <mergeCell ref="C8:C9"/>
    <mergeCell ref="D8:D9"/>
    <mergeCell ref="F8:F9"/>
  </mergeCells>
  <pageMargins left="0.7" right="0.7" top="0.75" bottom="0.75" header="0.3" footer="0.3"/>
  <pageSetup scale="49" orientation="portrait" horizontalDpi="4294967293" r:id="rId1"/>
  <colBreaks count="1" manualBreakCount="1">
    <brk id="6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Q29"/>
  <sheetViews>
    <sheetView view="pageBreakPreview" zoomScale="60" zoomScaleNormal="64" zoomScalePageLayoutView="64" workbookViewId="0">
      <selection activeCell="T13" sqref="T13"/>
    </sheetView>
  </sheetViews>
  <sheetFormatPr baseColWidth="10" defaultColWidth="11.42578125" defaultRowHeight="16.5"/>
  <cols>
    <col min="1" max="1" width="5.28515625" style="66" customWidth="1"/>
    <col min="2" max="2" width="26.140625" style="66" customWidth="1"/>
    <col min="3" max="3" width="45.42578125" style="66" customWidth="1"/>
    <col min="4" max="4" width="12.7109375" style="66" customWidth="1"/>
    <col min="5" max="5" width="15.42578125" style="66" customWidth="1"/>
    <col min="6" max="6" width="8.7109375" style="66" customWidth="1"/>
    <col min="7" max="8" width="8.85546875" style="66" customWidth="1"/>
    <col min="9" max="9" width="8.7109375" style="66" customWidth="1"/>
    <col min="10" max="10" width="9.42578125" style="66" customWidth="1"/>
    <col min="11" max="11" width="9.28515625" style="66" customWidth="1"/>
    <col min="12" max="13" width="9" style="66" customWidth="1"/>
    <col min="14" max="16384" width="11.42578125" style="66"/>
  </cols>
  <sheetData>
    <row r="1" spans="1:17" s="1" customFormat="1" ht="21.75" customHeight="1">
      <c r="A1" s="292" t="s">
        <v>25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68"/>
      <c r="O1" s="68"/>
      <c r="P1" s="68"/>
    </row>
    <row r="2" spans="1:17" s="1" customFormat="1" ht="24.75" customHeight="1">
      <c r="A2" s="294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68"/>
      <c r="O2" s="68"/>
      <c r="P2" s="68"/>
    </row>
    <row r="3" spans="1:17" s="1" customFormat="1" ht="24.75" customHeight="1">
      <c r="A3" s="294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68"/>
      <c r="O3" s="68"/>
      <c r="P3" s="68"/>
    </row>
    <row r="4" spans="1:17" s="1" customFormat="1" ht="24.75" customHeight="1">
      <c r="A4" s="294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68"/>
      <c r="O4" s="68"/>
      <c r="P4" s="68"/>
    </row>
    <row r="5" spans="1:17" s="1" customFormat="1" ht="24.75" customHeight="1">
      <c r="A5" s="294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68"/>
      <c r="O5" s="68"/>
      <c r="P5" s="68"/>
    </row>
    <row r="6" spans="1:17" customFormat="1" ht="86.25" customHeight="1">
      <c r="A6" s="300" t="s">
        <v>30</v>
      </c>
      <c r="B6" s="301"/>
      <c r="C6" s="298" t="s">
        <v>107</v>
      </c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69"/>
      <c r="O6" s="69"/>
      <c r="P6" s="69"/>
      <c r="Q6" s="25"/>
    </row>
    <row r="7" spans="1:17" ht="5.25" customHeight="1">
      <c r="A7" s="302"/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</row>
    <row r="8" spans="1:17" ht="21">
      <c r="A8" s="295" t="s">
        <v>52</v>
      </c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</row>
    <row r="9" spans="1:17">
      <c r="A9" s="311" t="s">
        <v>1</v>
      </c>
      <c r="B9" s="310" t="s">
        <v>33</v>
      </c>
      <c r="C9" s="310"/>
      <c r="D9" s="310" t="s">
        <v>36</v>
      </c>
      <c r="E9" s="310" t="s">
        <v>35</v>
      </c>
      <c r="F9" s="297" t="s">
        <v>55</v>
      </c>
      <c r="G9" s="297"/>
      <c r="H9" s="297"/>
      <c r="I9" s="297"/>
      <c r="J9" s="297"/>
      <c r="K9" s="297"/>
      <c r="L9" s="297"/>
      <c r="M9" s="297"/>
    </row>
    <row r="10" spans="1:17">
      <c r="A10" s="311"/>
      <c r="B10" s="310"/>
      <c r="C10" s="310"/>
      <c r="D10" s="310"/>
      <c r="E10" s="310"/>
      <c r="F10" s="297" t="s">
        <v>53</v>
      </c>
      <c r="G10" s="297"/>
      <c r="H10" s="297"/>
      <c r="I10" s="297"/>
      <c r="J10" s="312" t="s">
        <v>54</v>
      </c>
      <c r="K10" s="313"/>
      <c r="L10" s="313"/>
      <c r="M10" s="313"/>
    </row>
    <row r="11" spans="1:17">
      <c r="A11" s="311"/>
      <c r="B11" s="310"/>
      <c r="C11" s="310"/>
      <c r="D11" s="310"/>
      <c r="E11" s="310"/>
      <c r="F11" s="133" t="s">
        <v>56</v>
      </c>
      <c r="G11" s="133" t="s">
        <v>57</v>
      </c>
      <c r="H11" s="133" t="s">
        <v>58</v>
      </c>
      <c r="I11" s="133" t="s">
        <v>59</v>
      </c>
      <c r="J11" s="133" t="s">
        <v>60</v>
      </c>
      <c r="K11" s="133" t="s">
        <v>61</v>
      </c>
      <c r="L11" s="133" t="s">
        <v>62</v>
      </c>
      <c r="M11" s="133" t="s">
        <v>63</v>
      </c>
    </row>
    <row r="12" spans="1:17" ht="60.75" customHeight="1">
      <c r="A12" s="150">
        <v>1</v>
      </c>
      <c r="B12" s="256" t="s">
        <v>83</v>
      </c>
      <c r="C12" s="256"/>
      <c r="D12" s="67" t="s">
        <v>22</v>
      </c>
      <c r="E12" s="67">
        <v>70</v>
      </c>
      <c r="F12" s="163"/>
      <c r="G12" s="164"/>
      <c r="H12" s="163"/>
      <c r="I12" s="163"/>
      <c r="J12" s="78"/>
      <c r="K12" s="78"/>
      <c r="L12" s="78"/>
      <c r="M12" s="78"/>
    </row>
    <row r="13" spans="1:17" ht="116.1" customHeight="1">
      <c r="A13" s="150">
        <v>2</v>
      </c>
      <c r="B13" s="256" t="s">
        <v>85</v>
      </c>
      <c r="C13" s="256"/>
      <c r="D13" s="67" t="s">
        <v>22</v>
      </c>
      <c r="E13" s="67">
        <v>1</v>
      </c>
      <c r="F13" s="163"/>
      <c r="G13" s="163"/>
      <c r="H13" s="163"/>
      <c r="I13" s="163"/>
      <c r="J13" s="78"/>
      <c r="K13" s="78"/>
      <c r="L13" s="78"/>
      <c r="M13" s="78"/>
    </row>
    <row r="14" spans="1:17" ht="71.25" customHeight="1">
      <c r="A14" s="150">
        <v>3</v>
      </c>
      <c r="B14" s="256" t="s">
        <v>87</v>
      </c>
      <c r="C14" s="256"/>
      <c r="D14" s="67" t="s">
        <v>22</v>
      </c>
      <c r="E14" s="67">
        <v>70</v>
      </c>
      <c r="F14" s="149"/>
      <c r="G14" s="149"/>
      <c r="H14" s="149"/>
      <c r="I14" s="149"/>
      <c r="J14" s="163"/>
      <c r="K14" s="78"/>
      <c r="L14" s="78"/>
      <c r="M14" s="78"/>
    </row>
    <row r="15" spans="1:17" ht="60" customHeight="1">
      <c r="A15" s="150">
        <v>4</v>
      </c>
      <c r="B15" s="256" t="s">
        <v>86</v>
      </c>
      <c r="C15" s="256"/>
      <c r="D15" s="67" t="s">
        <v>22</v>
      </c>
      <c r="E15" s="67">
        <v>70</v>
      </c>
      <c r="F15" s="78"/>
      <c r="G15" s="78"/>
      <c r="H15" s="78"/>
      <c r="I15" s="78"/>
      <c r="J15" s="149"/>
      <c r="K15" s="163"/>
      <c r="L15" s="149"/>
      <c r="M15" s="149"/>
    </row>
    <row r="16" spans="1:17" ht="60.75" customHeight="1">
      <c r="A16" s="150">
        <v>5</v>
      </c>
      <c r="B16" s="256" t="s">
        <v>84</v>
      </c>
      <c r="C16" s="256"/>
      <c r="D16" s="67" t="s">
        <v>22</v>
      </c>
      <c r="E16" s="67">
        <v>70</v>
      </c>
      <c r="F16" s="78"/>
      <c r="G16" s="78"/>
      <c r="H16" s="78"/>
      <c r="I16" s="78"/>
      <c r="J16" s="149"/>
      <c r="K16" s="163"/>
      <c r="L16" s="163"/>
      <c r="M16" s="163"/>
    </row>
    <row r="17" spans="1:13" ht="60.75" customHeight="1">
      <c r="A17" s="150">
        <v>6</v>
      </c>
      <c r="B17" s="256" t="s">
        <v>88</v>
      </c>
      <c r="C17" s="256"/>
      <c r="D17" s="67" t="s">
        <v>22</v>
      </c>
      <c r="E17" s="67">
        <v>1</v>
      </c>
      <c r="F17" s="78"/>
      <c r="G17" s="78"/>
      <c r="H17" s="78"/>
      <c r="I17" s="78"/>
      <c r="J17" s="149"/>
      <c r="K17" s="149"/>
      <c r="L17" s="163"/>
      <c r="M17" s="163"/>
    </row>
    <row r="18" spans="1:13">
      <c r="A18" s="306"/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1:13">
      <c r="A19" s="151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</row>
    <row r="20" spans="1:13">
      <c r="A20" s="151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</row>
    <row r="21" spans="1:13">
      <c r="A21" s="151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</row>
    <row r="22" spans="1:13">
      <c r="A22" s="151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1:13">
      <c r="A23" s="151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</row>
    <row r="24" spans="1:13">
      <c r="A24" s="152"/>
    </row>
    <row r="25" spans="1:13">
      <c r="A25" s="152"/>
      <c r="B25" s="308" t="s">
        <v>75</v>
      </c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</row>
    <row r="26" spans="1:13">
      <c r="A26" s="153"/>
      <c r="B26" s="117"/>
      <c r="C26" s="309" t="s">
        <v>50</v>
      </c>
      <c r="D26" s="309"/>
      <c r="E26" s="309"/>
      <c r="F26" s="309"/>
      <c r="G26" s="309"/>
      <c r="H26" s="309"/>
      <c r="I26" s="117"/>
      <c r="J26" s="117"/>
      <c r="K26" s="118" t="s">
        <v>73</v>
      </c>
      <c r="L26" s="118"/>
      <c r="M26" s="118"/>
    </row>
    <row r="27" spans="1:13" ht="16.5" customHeight="1">
      <c r="A27" s="154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</row>
    <row r="28" spans="1:13">
      <c r="A28" s="154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</row>
    <row r="29" spans="1:13" ht="17.25" thickBot="1">
      <c r="A29" s="304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</row>
  </sheetData>
  <protectedRanges>
    <protectedRange algorithmName="SHA-512" hashValue="wgTuNiTFdwqVE3Wdv/Ve1loWXD4TEVIFGuxcCgwiQs13Bkl3NShMdVkaKBT9jQP5p/SYoOYsfNUyYofrmHmwRw==" saltValue="G4OGwyDGpjz1/CF8ziuoug==" spinCount="100000" sqref="N6:P6 A6:M6" name="AREA DE TRABAJO_2"/>
  </protectedRanges>
  <mergeCells count="22">
    <mergeCell ref="B17:C17"/>
    <mergeCell ref="A29:M29"/>
    <mergeCell ref="F10:I10"/>
    <mergeCell ref="A18:M18"/>
    <mergeCell ref="B25:M25"/>
    <mergeCell ref="B12:C12"/>
    <mergeCell ref="B13:C13"/>
    <mergeCell ref="B14:C14"/>
    <mergeCell ref="B15:C15"/>
    <mergeCell ref="B16:C16"/>
    <mergeCell ref="C26:H26"/>
    <mergeCell ref="D9:D11"/>
    <mergeCell ref="E9:E11"/>
    <mergeCell ref="A9:A11"/>
    <mergeCell ref="B9:C11"/>
    <mergeCell ref="J10:M10"/>
    <mergeCell ref="A1:M5"/>
    <mergeCell ref="A8:M8"/>
    <mergeCell ref="F9:M9"/>
    <mergeCell ref="C6:M6"/>
    <mergeCell ref="A6:B6"/>
    <mergeCell ref="A7:M7"/>
  </mergeCells>
  <pageMargins left="0.51181102362204722" right="0.51181102362204722" top="0.74803149606299213" bottom="0.74803149606299213" header="0.31496062992125984" footer="0.31496062992125984"/>
  <pageSetup scale="39" orientation="portrait" r:id="rId1"/>
  <colBreaks count="1" manualBreakCount="1">
    <brk id="13" max="27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PRESUPUESTO</vt:lpstr>
      <vt:lpstr>PLAN DE CARGAS</vt:lpstr>
      <vt:lpstr>DESCRIP PERFILES</vt:lpstr>
      <vt:lpstr>CRONOGRAMA DE ACTIVIDADES</vt:lpstr>
      <vt:lpstr>'CRONOGRAMA DE ACTIVIDADES'!Área_de_impresión</vt:lpstr>
      <vt:lpstr>'DESCRIP PERFILES'!Área_de_impresión</vt:lpstr>
      <vt:lpstr>'PLAN DE CARGAS'!Área_de_impresión</vt:lpstr>
      <vt:lpstr>PRESUPUESTO!Área_de_impresión</vt:lpstr>
      <vt:lpstr>PRESUPUESTO!Títulos_a_imprimir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2022-09-22T19:58:17Z</cp:lastPrinted>
  <dcterms:created xsi:type="dcterms:W3CDTF">2008-05-28T19:45:00Z</dcterms:created>
  <dcterms:modified xsi:type="dcterms:W3CDTF">2022-09-22T19:59:22Z</dcterms:modified>
</cp:coreProperties>
</file>